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5058.sharepoint.com/sites/BudgetSetting/Shared Documents/BS_2025-26/Fees­_Charges/"/>
    </mc:Choice>
  </mc:AlternateContent>
  <xr:revisionPtr revIDLastSave="2" documentId="8_{E414F539-F12E-46BD-9F6E-BE2E3260DD69}" xr6:coauthVersionLast="47" xr6:coauthVersionMax="47" xr10:uidLastSave="{65B0ADEC-850A-428F-A478-CC0497A6F26B}"/>
  <bookViews>
    <workbookView xWindow="-110" yWindow="-110" windowWidth="19420" windowHeight="10420" firstSheet="1" activeTab="1" xr2:uid="{069DD85F-8E20-4EE7-A7FA-640D2D2AFBC2}"/>
  </bookViews>
  <sheets>
    <sheet name="Sheet1" sheetId="24" state="hidden" r:id="rId1"/>
    <sheet name="Adult Social Care" sheetId="1" r:id="rId2"/>
    <sheet name="Allotments" sheetId="2" r:id="rId3"/>
    <sheet name="Bereavement Services" sheetId="3" r:id="rId4"/>
    <sheet name="Building Control" sheetId="4" r:id="rId5"/>
    <sheet name="Car Parking" sheetId="25" r:id="rId6"/>
    <sheet name="Corp Venues" sheetId="7" r:id="rId7"/>
    <sheet name="Council Tax Penalties" sheetId="8" r:id="rId8"/>
    <sheet name="Culture" sheetId="9" r:id="rId9"/>
    <sheet name="Highways" sheetId="10" r:id="rId10"/>
    <sheet name="Housing" sheetId="11" r:id="rId11"/>
    <sheet name="Licences" sheetId="12" r:id="rId12"/>
    <sheet name="Local Land Charges" sheetId="13" r:id="rId13"/>
    <sheet name="Pier and Foreshore" sheetId="14" r:id="rId14"/>
    <sheet name="Planning and Eco Incl" sheetId="15" r:id="rId15"/>
    <sheet name="Property - Legal" sheetId="21" r:id="rId16"/>
    <sheet name="Registration" sheetId="16" r:id="rId17"/>
    <sheet name="Regulatory" sheetId="17" r:id="rId18"/>
    <sheet name="Town Centre and Tourism" sheetId="18" r:id="rId19"/>
    <sheet name="Transport" sheetId="19" r:id="rId20"/>
    <sheet name="Waste" sheetId="20" r:id="rId21"/>
  </sheets>
  <externalReferences>
    <externalReference r:id="rId22"/>
    <externalReference r:id="rId23"/>
  </externalReferences>
  <definedNames>
    <definedName name="_xlnm._FilterDatabase" localSheetId="1" hidden="1">'Adult Social Care'!$A$1:$C$1</definedName>
    <definedName name="_xlnm._FilterDatabase" localSheetId="2" hidden="1">Allotments!$A$1:$B$2</definedName>
    <definedName name="_xlnm._FilterDatabase" localSheetId="6" hidden="1">'Corp Venues'!$A$1:$C$1</definedName>
    <definedName name="_xlnm._FilterDatabase" localSheetId="8" hidden="1">Culture!$A$1:$C$2</definedName>
    <definedName name="_xlnm._FilterDatabase" localSheetId="9" hidden="1">Highways!$A$1:$C$3</definedName>
    <definedName name="_xlnm._FilterDatabase" localSheetId="14" hidden="1">'Planning and Eco Incl'!$A$1:$B$2</definedName>
    <definedName name="_xlnm._FilterDatabase" localSheetId="16" hidden="1">Registration!$A$1:$B$1</definedName>
    <definedName name="_xlnm._FilterDatabase" localSheetId="17" hidden="1">Regulatory!$A$1:$C$2</definedName>
    <definedName name="_xlnm._FilterDatabase" localSheetId="19" hidden="1">Transport!$A$1:$C$1</definedName>
    <definedName name="_xlnm._FilterDatabase" localSheetId="20" hidden="1">Waste!$A$1:$C$2</definedName>
    <definedName name="_ftn1" localSheetId="15">'Property - Legal'!$B$66</definedName>
    <definedName name="_ftnref1" localSheetId="15">'Property - Legal'!$C$9</definedName>
    <definedName name="Allcountries" localSheetId="1">#REF!</definedName>
    <definedName name="Allcountries" localSheetId="2">#REF!</definedName>
    <definedName name="Allcountries" localSheetId="3">#REF!</definedName>
    <definedName name="Allcountries" localSheetId="4">#REF!</definedName>
    <definedName name="Allcountries" localSheetId="6">#REF!</definedName>
    <definedName name="Allcountries" localSheetId="7">#REF!</definedName>
    <definedName name="Allcountries" localSheetId="8">#REF!</definedName>
    <definedName name="Allcountries" localSheetId="9">#REF!</definedName>
    <definedName name="Allcountries" localSheetId="10">#REF!</definedName>
    <definedName name="Allcountries" localSheetId="11">#REF!</definedName>
    <definedName name="Allcountries" localSheetId="12">#REF!</definedName>
    <definedName name="Allcountries" localSheetId="13">#REF!</definedName>
    <definedName name="Allcountries" localSheetId="14">#REF!</definedName>
    <definedName name="Allcountries" localSheetId="16">#REF!</definedName>
    <definedName name="Allcountries" localSheetId="17">#REF!</definedName>
    <definedName name="Allcountries" localSheetId="18">#REF!</definedName>
    <definedName name="Allcountries" localSheetId="19">#REF!</definedName>
    <definedName name="Allcountries" localSheetId="20">#REF!</definedName>
    <definedName name="Allcountries">#REF!</definedName>
    <definedName name="Charges" localSheetId="1">#REF!</definedName>
    <definedName name="Charges" localSheetId="2">#REF!</definedName>
    <definedName name="Charges" localSheetId="3">#REF!</definedName>
    <definedName name="Charges" localSheetId="4">#REF!</definedName>
    <definedName name="Charges" localSheetId="6">#REF!</definedName>
    <definedName name="Charges" localSheetId="7">#REF!</definedName>
    <definedName name="Charges" localSheetId="8">#REF!</definedName>
    <definedName name="Charges" localSheetId="9">#REF!</definedName>
    <definedName name="Charges" localSheetId="10">#REF!</definedName>
    <definedName name="Charges" localSheetId="11">#REF!</definedName>
    <definedName name="Charges" localSheetId="12">#REF!</definedName>
    <definedName name="Charges" localSheetId="13">#REF!</definedName>
    <definedName name="Charges" localSheetId="14">#REF!</definedName>
    <definedName name="Charges" localSheetId="16">#REF!</definedName>
    <definedName name="Charges" localSheetId="17">#REF!</definedName>
    <definedName name="Charges" localSheetId="18">#REF!</definedName>
    <definedName name="Charges" localSheetId="19">#REF!</definedName>
    <definedName name="Charges" localSheetId="20">#REF!</definedName>
    <definedName name="Charges">#REF!</definedName>
    <definedName name="Country_List">[1]Dashboard!$Z$5:$Z$10</definedName>
    <definedName name="CountryList" localSheetId="1">#REF!</definedName>
    <definedName name="CountryList" localSheetId="2">#REF!</definedName>
    <definedName name="CountryList" localSheetId="3">#REF!</definedName>
    <definedName name="CountryList" localSheetId="4">#REF!</definedName>
    <definedName name="CountryList" localSheetId="6">#REF!</definedName>
    <definedName name="CountryList" localSheetId="7">#REF!</definedName>
    <definedName name="CountryList" localSheetId="8">#REF!</definedName>
    <definedName name="CountryList" localSheetId="9">#REF!</definedName>
    <definedName name="CountryList" localSheetId="10">#REF!</definedName>
    <definedName name="CountryList" localSheetId="11">#REF!</definedName>
    <definedName name="CountryList" localSheetId="12">#REF!</definedName>
    <definedName name="CountryList" localSheetId="13">#REF!</definedName>
    <definedName name="CountryList" localSheetId="14">#REF!</definedName>
    <definedName name="CountryList" localSheetId="16">#REF!</definedName>
    <definedName name="CountryList" localSheetId="17">#REF!</definedName>
    <definedName name="CountryList" localSheetId="18">#REF!</definedName>
    <definedName name="CountryList" localSheetId="19">#REF!</definedName>
    <definedName name="CountryList" localSheetId="20">#REF!</definedName>
    <definedName name="CountryList">#REF!</definedName>
    <definedName name="CountryList2" localSheetId="1">#REF!</definedName>
    <definedName name="CountryList2" localSheetId="2">#REF!</definedName>
    <definedName name="CountryList2" localSheetId="3">#REF!</definedName>
    <definedName name="CountryList2" localSheetId="4">#REF!</definedName>
    <definedName name="CountryList2" localSheetId="6">#REF!</definedName>
    <definedName name="CountryList2" localSheetId="7">#REF!</definedName>
    <definedName name="CountryList2" localSheetId="8">#REF!</definedName>
    <definedName name="CountryList2" localSheetId="9">#REF!</definedName>
    <definedName name="CountryList2" localSheetId="10">#REF!</definedName>
    <definedName name="CountryList2" localSheetId="11">#REF!</definedName>
    <definedName name="CountryList2" localSheetId="12">#REF!</definedName>
    <definedName name="CountryList2" localSheetId="13">#REF!</definedName>
    <definedName name="CountryList2" localSheetId="14">#REF!</definedName>
    <definedName name="CountryList2" localSheetId="16">#REF!</definedName>
    <definedName name="CountryList2" localSheetId="17">#REF!</definedName>
    <definedName name="CountryList2" localSheetId="18">#REF!</definedName>
    <definedName name="CountryList2" localSheetId="19">#REF!</definedName>
    <definedName name="CountryList2" localSheetId="20">#REF!</definedName>
    <definedName name="CountryList2">#REF!</definedName>
    <definedName name="Fees" localSheetId="1">#REF!</definedName>
    <definedName name="Fees" localSheetId="2">#REF!</definedName>
    <definedName name="Fees" localSheetId="3">#REF!</definedName>
    <definedName name="Fees" localSheetId="4">#REF!</definedName>
    <definedName name="Fees" localSheetId="6">#REF!</definedName>
    <definedName name="Fees" localSheetId="7">#REF!</definedName>
    <definedName name="Fees" localSheetId="8">#REF!</definedName>
    <definedName name="Fees" localSheetId="9">#REF!</definedName>
    <definedName name="Fees" localSheetId="10">#REF!</definedName>
    <definedName name="Fees" localSheetId="11">#REF!</definedName>
    <definedName name="Fees" localSheetId="12">#REF!</definedName>
    <definedName name="Fees" localSheetId="13">#REF!</definedName>
    <definedName name="Fees" localSheetId="14">#REF!</definedName>
    <definedName name="Fees" localSheetId="16">#REF!</definedName>
    <definedName name="Fees" localSheetId="17">#REF!</definedName>
    <definedName name="Fees" localSheetId="18">#REF!</definedName>
    <definedName name="Fees" localSheetId="19">#REF!</definedName>
    <definedName name="Fees" localSheetId="20">#REF!</definedName>
    <definedName name="Fees">#REF!</definedName>
    <definedName name="person">[2]Lists!$D$5:$D$17</definedName>
    <definedName name="_xlnm.Print_Area" localSheetId="1">'Adult Social Care'!$A$1:$L$14</definedName>
    <definedName name="_xlnm.Print_Area" localSheetId="2">Allotments!$A$1:$K$12</definedName>
    <definedName name="_xlnm.Print_Area" localSheetId="3">'Bereavement Services'!$A$1:$L$234</definedName>
    <definedName name="_xlnm.Print_Area" localSheetId="4">'Building Control'!$A$1:$M$141</definedName>
    <definedName name="_xlnm.Print_Area" localSheetId="6">'Corp Venues'!$A$1:$L$51</definedName>
    <definedName name="_xlnm.Print_Area" localSheetId="7">'Council Tax Penalties'!$A$1:$L$14</definedName>
    <definedName name="_xlnm.Print_Area" localSheetId="8">Culture!$A$1:$L$380</definedName>
    <definedName name="_xlnm.Print_Area" localSheetId="9">Highways!$A$1:$L$195</definedName>
    <definedName name="_xlnm.Print_Area" localSheetId="10">Housing!$A$1:$L$37</definedName>
    <definedName name="_xlnm.Print_Area" localSheetId="11">Licences!$A$1:$I$153</definedName>
    <definedName name="_xlnm.Print_Area" localSheetId="12">'Local Land Charges'!$A$1:$L$10</definedName>
    <definedName name="_xlnm.Print_Area" localSheetId="13">'Pier and Foreshore'!$A$1:$L$93</definedName>
    <definedName name="_xlnm.Print_Area" localSheetId="14">'Planning and Eco Incl'!$A$1:$L$72</definedName>
    <definedName name="_xlnm.Print_Area" localSheetId="15">'Property - Legal'!$A$1:$G$80</definedName>
    <definedName name="_xlnm.Print_Area" localSheetId="16">Registration!$A$1:$L$116</definedName>
    <definedName name="_xlnm.Print_Area" localSheetId="17">Regulatory!$A$1:$L$140</definedName>
    <definedName name="_xlnm.Print_Area" localSheetId="18">'Town Centre and Tourism'!$A$1:$L$29</definedName>
    <definedName name="_xlnm.Print_Area" localSheetId="19">Transport!$A$1:$L$20</definedName>
    <definedName name="_xlnm.Print_Area" localSheetId="20">Waste!$A$1:$L$21</definedName>
    <definedName name="_xlnm.Print_Titles" localSheetId="1">'Adult Social Care'!$1:$2</definedName>
    <definedName name="_xlnm.Print_Titles" localSheetId="2">Allotments!$1:$2</definedName>
    <definedName name="_xlnm.Print_Titles" localSheetId="3">'Bereavement Services'!$1:$2</definedName>
    <definedName name="_xlnm.Print_Titles" localSheetId="4">'Building Control'!$1:$1</definedName>
    <definedName name="_xlnm.Print_Titles" localSheetId="6">'Corp Venues'!$1:$2</definedName>
    <definedName name="_xlnm.Print_Titles" localSheetId="7">'Council Tax Penalties'!$1:$2</definedName>
    <definedName name="_xlnm.Print_Titles" localSheetId="8">Culture!$1:$2</definedName>
    <definedName name="_xlnm.Print_Titles" localSheetId="9">Highways!$1:$2</definedName>
    <definedName name="_xlnm.Print_Titles" localSheetId="10">Housing!$1:$2</definedName>
    <definedName name="_xlnm.Print_Titles" localSheetId="12">'Local Land Charges'!$1:$2</definedName>
    <definedName name="_xlnm.Print_Titles" localSheetId="13">'Pier and Foreshore'!$1:$2</definedName>
    <definedName name="_xlnm.Print_Titles" localSheetId="14">'Planning and Eco Incl'!$1:$2</definedName>
    <definedName name="_xlnm.Print_Titles" localSheetId="16">Registration!$1:$3</definedName>
    <definedName name="_xlnm.Print_Titles" localSheetId="17">Regulatory!$1:$2</definedName>
    <definedName name="_xlnm.Print_Titles" localSheetId="18">'Town Centre and Tourism'!$1:$2</definedName>
    <definedName name="_xlnm.Print_Titles" localSheetId="19">Transport!$1:$2</definedName>
    <definedName name="_xlnm.Print_Titles" localSheetId="20">Waste!$1:$2</definedName>
    <definedName name="s" localSheetId="1">#REF!</definedName>
    <definedName name="s" localSheetId="2">#REF!</definedName>
    <definedName name="s" localSheetId="3">#REF!</definedName>
    <definedName name="s" localSheetId="4">#REF!</definedName>
    <definedName name="s" localSheetId="6">#REF!</definedName>
    <definedName name="s" localSheetId="7">#REF!</definedName>
    <definedName name="s" localSheetId="8">#REF!</definedName>
    <definedName name="s" localSheetId="9">#REF!</definedName>
    <definedName name="s" localSheetId="10">#REF!</definedName>
    <definedName name="s" localSheetId="11">#REF!</definedName>
    <definedName name="s" localSheetId="12">#REF!</definedName>
    <definedName name="s" localSheetId="13">#REF!</definedName>
    <definedName name="s" localSheetId="14">#REF!</definedName>
    <definedName name="s" localSheetId="16">#REF!</definedName>
    <definedName name="s" localSheetId="17">#REF!</definedName>
    <definedName name="s" localSheetId="18">#REF!</definedName>
    <definedName name="s" localSheetId="19">#REF!</definedName>
    <definedName name="s" localSheetId="20">#REF!</definedName>
    <definedName name="s">#REF!</definedName>
    <definedName name="Tasks">[2]Lists!$B$5:$B$9</definedName>
    <definedName name="TM1REBUILDOPTIO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1" l="1"/>
  <c r="A132" i="17"/>
  <c r="I90" i="16"/>
  <c r="I89" i="16"/>
  <c r="I88" i="16"/>
  <c r="A19" i="19"/>
  <c r="I122" i="16"/>
  <c r="I121" i="16"/>
  <c r="I120" i="16"/>
  <c r="I119" i="16"/>
  <c r="E122" i="16"/>
  <c r="E121" i="16"/>
  <c r="E120" i="16"/>
  <c r="E119" i="16"/>
  <c r="I75" i="15"/>
  <c r="E75" i="15"/>
  <c r="I74" i="10"/>
  <c r="I73" i="10"/>
  <c r="I72" i="10"/>
  <c r="I71" i="10"/>
  <c r="I70" i="10"/>
  <c r="E74" i="10"/>
  <c r="E73" i="10"/>
  <c r="E72" i="10"/>
  <c r="E71" i="10"/>
  <c r="E70" i="10"/>
  <c r="H69" i="17" l="1"/>
  <c r="H75" i="17"/>
  <c r="H73" i="17"/>
  <c r="H68" i="17"/>
  <c r="H67" i="17"/>
  <c r="H66" i="17"/>
  <c r="H57" i="17"/>
  <c r="H78" i="14" l="1"/>
  <c r="H77" i="14"/>
  <c r="H32" i="14"/>
  <c r="H31" i="14"/>
  <c r="H5" i="1"/>
  <c r="A44" i="14"/>
  <c r="A39" i="14"/>
  <c r="A40" i="14" s="1"/>
  <c r="H84" i="14"/>
  <c r="H81" i="14"/>
  <c r="H74" i="14"/>
  <c r="H73" i="14"/>
  <c r="H71" i="14"/>
  <c r="H70" i="14"/>
  <c r="H69" i="14"/>
  <c r="H68" i="14"/>
  <c r="H65" i="14"/>
  <c r="H64" i="14"/>
  <c r="H63" i="14"/>
  <c r="H62" i="14"/>
  <c r="H59" i="14"/>
  <c r="H58" i="14"/>
  <c r="H57" i="14"/>
  <c r="H56" i="14"/>
  <c r="H55" i="14"/>
  <c r="H50" i="14"/>
  <c r="H49" i="14"/>
  <c r="H46" i="14"/>
  <c r="H45" i="14"/>
  <c r="H36" i="14"/>
  <c r="H35" i="14"/>
  <c r="H30" i="14"/>
  <c r="H29" i="14"/>
  <c r="H28" i="14"/>
  <c r="H27" i="14"/>
  <c r="H24" i="14"/>
  <c r="H23" i="14"/>
  <c r="H22" i="14"/>
  <c r="H16" i="14"/>
  <c r="H9" i="14"/>
  <c r="H8" i="14"/>
  <c r="H7" i="14"/>
  <c r="A13" i="20"/>
  <c r="J39" i="14" l="1"/>
  <c r="L39" i="14" s="1"/>
  <c r="J40" i="14"/>
  <c r="L40" i="14" s="1"/>
  <c r="J132" i="17" l="1"/>
  <c r="L132" i="17"/>
  <c r="J133" i="17"/>
  <c r="L133" i="17"/>
  <c r="J134" i="17"/>
  <c r="L134" i="17"/>
  <c r="J135" i="17"/>
  <c r="L135" i="17"/>
  <c r="H88" i="17"/>
  <c r="H87" i="17"/>
  <c r="H76" i="17"/>
  <c r="H74" i="17"/>
  <c r="H70" i="17"/>
  <c r="H65" i="17"/>
  <c r="H62" i="17"/>
  <c r="H61" i="17"/>
  <c r="H58" i="17"/>
  <c r="H53" i="17"/>
  <c r="H52" i="17"/>
  <c r="H51" i="17"/>
  <c r="H50" i="17"/>
  <c r="H49" i="17"/>
  <c r="H48" i="17"/>
  <c r="H28" i="17"/>
  <c r="I29" i="17" l="1"/>
  <c r="J29" i="17" s="1"/>
  <c r="L29" i="17" s="1"/>
  <c r="L20" i="17"/>
  <c r="H21" i="16" l="1"/>
  <c r="A189" i="10"/>
  <c r="A190" i="10" s="1"/>
  <c r="A191" i="10" s="1"/>
  <c r="A192" i="10" s="1"/>
  <c r="A188" i="10"/>
  <c r="A187" i="10"/>
  <c r="H88" i="10"/>
  <c r="H87" i="10"/>
  <c r="H86" i="10"/>
  <c r="H41" i="10"/>
  <c r="H39" i="10"/>
  <c r="A293" i="9"/>
  <c r="J192" i="10" l="1"/>
  <c r="K192" i="10" s="1"/>
  <c r="L192" i="10" s="1"/>
  <c r="L191" i="10"/>
  <c r="J191" i="10"/>
  <c r="K191" i="10" s="1"/>
  <c r="J190" i="10"/>
  <c r="K190" i="10" s="1"/>
  <c r="L190" i="10" s="1"/>
  <c r="J189" i="10"/>
  <c r="K189" i="10" s="1"/>
  <c r="L189" i="10" s="1"/>
  <c r="J188" i="10"/>
  <c r="K188" i="10" s="1"/>
  <c r="L188" i="10" s="1"/>
  <c r="J187" i="10"/>
  <c r="K187" i="10" s="1"/>
  <c r="L187" i="10" s="1"/>
  <c r="H234" i="3" l="1"/>
  <c r="H233" i="3"/>
  <c r="H232" i="3"/>
  <c r="H224" i="3"/>
  <c r="H228" i="3"/>
  <c r="H227" i="3"/>
  <c r="H226" i="3"/>
  <c r="H225" i="3"/>
  <c r="H222" i="3"/>
  <c r="H221" i="3"/>
  <c r="H220" i="3"/>
  <c r="H219" i="3"/>
  <c r="H218" i="3"/>
  <c r="H216" i="3"/>
  <c r="H215" i="3"/>
  <c r="H214" i="3"/>
  <c r="H213" i="3"/>
  <c r="H212" i="3"/>
  <c r="H211" i="3"/>
  <c r="H209" i="3"/>
  <c r="H208" i="3"/>
  <c r="H207" i="3"/>
  <c r="H206" i="3"/>
  <c r="H200" i="3"/>
  <c r="H205" i="3"/>
  <c r="H204" i="3"/>
  <c r="H202" i="3"/>
  <c r="H201" i="3"/>
  <c r="H199" i="3"/>
  <c r="H198" i="3"/>
  <c r="H196" i="3"/>
  <c r="H195" i="3"/>
  <c r="H194" i="3"/>
  <c r="H193" i="3"/>
  <c r="H192" i="3"/>
  <c r="H191" i="3"/>
  <c r="H187" i="3"/>
  <c r="H186" i="3"/>
  <c r="H185" i="3"/>
  <c r="H184" i="3"/>
  <c r="H183" i="3"/>
  <c r="H182" i="3"/>
  <c r="H181" i="3"/>
  <c r="H180" i="3"/>
  <c r="H179" i="3"/>
  <c r="H178" i="3"/>
  <c r="H177" i="3"/>
  <c r="H176" i="3"/>
  <c r="H175" i="3"/>
  <c r="H174" i="3"/>
  <c r="H173" i="3"/>
  <c r="H172" i="3"/>
  <c r="H169" i="3"/>
  <c r="H168" i="3"/>
  <c r="H167" i="3"/>
  <c r="H164" i="3"/>
  <c r="H163" i="3"/>
  <c r="H162" i="3"/>
  <c r="H161" i="3"/>
  <c r="H158" i="3"/>
  <c r="H157" i="3"/>
  <c r="H156" i="3"/>
  <c r="H155" i="3"/>
  <c r="H154" i="3"/>
  <c r="H151" i="3"/>
  <c r="H150" i="3"/>
  <c r="H149" i="3"/>
  <c r="H148" i="3"/>
  <c r="H147" i="3"/>
  <c r="H146" i="3"/>
  <c r="H145" i="3"/>
  <c r="H144" i="3"/>
  <c r="H143" i="3"/>
  <c r="H140" i="3"/>
  <c r="H139" i="3"/>
  <c r="H138" i="3"/>
  <c r="H137" i="3"/>
  <c r="H136" i="3"/>
  <c r="H135" i="3"/>
  <c r="H134" i="3"/>
  <c r="H133" i="3"/>
  <c r="H130" i="3"/>
  <c r="H129" i="3"/>
  <c r="H128" i="3"/>
  <c r="H127" i="3"/>
  <c r="H126" i="3"/>
  <c r="H125" i="3"/>
  <c r="H124" i="3"/>
  <c r="H123" i="3"/>
  <c r="H119" i="3"/>
  <c r="H118" i="3"/>
  <c r="H117" i="3"/>
  <c r="H116" i="3"/>
  <c r="H115" i="3"/>
  <c r="H114" i="3"/>
  <c r="H111" i="3"/>
  <c r="H110" i="3"/>
  <c r="H109" i="3"/>
  <c r="H108" i="3"/>
  <c r="H107" i="3"/>
  <c r="H106" i="3"/>
  <c r="H105" i="3"/>
  <c r="H103" i="3"/>
  <c r="H102" i="3"/>
  <c r="H101" i="3"/>
  <c r="H99" i="3"/>
  <c r="H98" i="3"/>
  <c r="H95" i="3"/>
  <c r="H94" i="3"/>
  <c r="H93" i="3"/>
  <c r="H92" i="3"/>
  <c r="H88" i="3"/>
  <c r="H87" i="3"/>
  <c r="H86" i="3"/>
  <c r="H85" i="3"/>
  <c r="H84" i="3"/>
  <c r="H83" i="3"/>
  <c r="H82" i="3"/>
  <c r="H81" i="3"/>
  <c r="H80" i="3"/>
  <c r="H79" i="3"/>
  <c r="H78" i="3"/>
  <c r="H77" i="3"/>
  <c r="H76" i="3"/>
  <c r="H75" i="3"/>
  <c r="H74" i="3"/>
  <c r="H69" i="3"/>
  <c r="H68" i="3"/>
  <c r="H65" i="3"/>
  <c r="H60" i="3"/>
  <c r="H59" i="3"/>
  <c r="H56" i="3"/>
  <c r="H55" i="3"/>
  <c r="H54" i="3"/>
  <c r="H53" i="3"/>
  <c r="H27" i="3"/>
  <c r="H26" i="3"/>
  <c r="H23" i="3"/>
  <c r="H22" i="3"/>
  <c r="H19" i="3"/>
  <c r="H15" i="3"/>
  <c r="H46" i="3"/>
  <c r="H45" i="3"/>
  <c r="H38" i="3"/>
  <c r="H37" i="3"/>
  <c r="H33" i="3"/>
  <c r="H32" i="3"/>
  <c r="H31" i="3"/>
  <c r="H30" i="3"/>
  <c r="I137" i="4" l="1"/>
  <c r="I136" i="4"/>
  <c r="I135" i="4"/>
  <c r="I134" i="4"/>
  <c r="I129" i="4"/>
  <c r="I128" i="4"/>
  <c r="I127" i="4"/>
  <c r="I126" i="4"/>
  <c r="I125" i="4"/>
  <c r="I124" i="4"/>
  <c r="I123" i="4"/>
  <c r="I122" i="4"/>
  <c r="I117" i="4"/>
  <c r="I116" i="4"/>
  <c r="I115" i="4"/>
  <c r="I114" i="4"/>
  <c r="I113" i="4"/>
  <c r="I112" i="4"/>
  <c r="I111" i="4"/>
  <c r="I110" i="4"/>
  <c r="I105" i="4"/>
  <c r="I104" i="4"/>
  <c r="I103" i="4"/>
  <c r="I102" i="4"/>
  <c r="I101" i="4"/>
  <c r="I100" i="4"/>
  <c r="I99" i="4"/>
  <c r="I98" i="4"/>
  <c r="I91" i="4"/>
  <c r="I90" i="4"/>
  <c r="I89" i="4"/>
  <c r="I88" i="4"/>
  <c r="I87" i="4"/>
  <c r="I86" i="4"/>
  <c r="I85" i="4"/>
  <c r="I79" i="4"/>
  <c r="I78" i="4"/>
  <c r="I77" i="4"/>
  <c r="I74" i="4"/>
  <c r="I73" i="4"/>
  <c r="I72" i="4"/>
  <c r="I71" i="4"/>
  <c r="I70" i="4"/>
  <c r="I69" i="4"/>
  <c r="I62" i="4"/>
  <c r="I61" i="4"/>
  <c r="I60" i="4"/>
  <c r="I59" i="4"/>
  <c r="I58" i="4"/>
  <c r="I57" i="4"/>
  <c r="I56" i="4"/>
  <c r="I55" i="4"/>
  <c r="I54" i="4"/>
  <c r="I53" i="4"/>
  <c r="I52" i="4"/>
  <c r="I51" i="4"/>
  <c r="I49" i="4"/>
  <c r="I48" i="4"/>
  <c r="I47" i="4"/>
  <c r="I46" i="4"/>
  <c r="I43" i="4"/>
  <c r="I37" i="4"/>
  <c r="I36" i="4"/>
  <c r="I35" i="4"/>
  <c r="I34" i="4"/>
  <c r="I33" i="4"/>
  <c r="I32" i="4"/>
  <c r="I31" i="4"/>
  <c r="I30" i="4"/>
  <c r="I29" i="4"/>
  <c r="I28" i="4"/>
  <c r="I27" i="4"/>
  <c r="I26" i="4"/>
  <c r="I25" i="4"/>
  <c r="I24" i="4"/>
  <c r="I23" i="4"/>
  <c r="I17" i="4"/>
  <c r="I16" i="4"/>
  <c r="I15" i="4"/>
  <c r="I14" i="4"/>
  <c r="I13" i="4"/>
  <c r="I12" i="4"/>
  <c r="I11" i="4"/>
  <c r="I10" i="4"/>
  <c r="I9" i="4"/>
  <c r="I8" i="4"/>
  <c r="I7" i="4"/>
  <c r="I6" i="4"/>
  <c r="I5" i="4"/>
  <c r="I4" i="4"/>
  <c r="I3" i="4"/>
  <c r="H14" i="1" l="1"/>
  <c r="H43" i="7"/>
  <c r="H17" i="7"/>
  <c r="H18" i="7"/>
  <c r="H12" i="7"/>
  <c r="H6" i="7"/>
  <c r="H5" i="7"/>
  <c r="H71" i="3" l="1"/>
  <c r="H70" i="3"/>
  <c r="H42" i="3"/>
  <c r="H16" i="3"/>
  <c r="H12" i="3"/>
  <c r="H140" i="17"/>
  <c r="H139" i="17"/>
  <c r="H138" i="17"/>
  <c r="H129" i="17"/>
  <c r="H128" i="17"/>
  <c r="H127" i="17"/>
  <c r="H126" i="17"/>
  <c r="H125" i="17"/>
  <c r="H124" i="17"/>
  <c r="H123" i="17"/>
  <c r="H122" i="17"/>
  <c r="H121" i="17"/>
  <c r="H120" i="17"/>
  <c r="H115" i="17"/>
  <c r="H114" i="17"/>
  <c r="H113" i="17"/>
  <c r="H112" i="17"/>
  <c r="H111" i="17"/>
  <c r="H110" i="17"/>
  <c r="H109" i="17"/>
  <c r="H108" i="17"/>
  <c r="H107" i="17"/>
  <c r="H106" i="17"/>
  <c r="H105" i="17"/>
  <c r="H104" i="17"/>
  <c r="H103" i="17"/>
  <c r="H102" i="17"/>
  <c r="H101" i="17"/>
  <c r="H96" i="17"/>
  <c r="H95" i="17"/>
  <c r="H94" i="17"/>
  <c r="H93" i="17"/>
  <c r="H92" i="17"/>
  <c r="H91" i="17"/>
  <c r="H19" i="17"/>
  <c r="H18" i="17"/>
  <c r="H17" i="17"/>
  <c r="H13" i="17"/>
  <c r="H12" i="17"/>
  <c r="H11" i="17"/>
  <c r="H10" i="17"/>
  <c r="H9" i="17"/>
  <c r="H8" i="17"/>
  <c r="H7" i="17"/>
  <c r="H6" i="17"/>
  <c r="H5" i="17"/>
  <c r="H29" i="18"/>
  <c r="H26" i="18"/>
  <c r="H25" i="18"/>
  <c r="H24" i="18"/>
  <c r="H23" i="18"/>
  <c r="H22" i="18"/>
  <c r="H21" i="18"/>
  <c r="H20" i="18"/>
  <c r="H19" i="18"/>
  <c r="H18" i="18"/>
  <c r="H14" i="18"/>
  <c r="H12" i="18"/>
  <c r="H10" i="18"/>
  <c r="H8" i="18"/>
  <c r="H7" i="18"/>
  <c r="H6" i="18"/>
  <c r="H16" i="15"/>
  <c r="H15" i="15"/>
  <c r="H14" i="15"/>
  <c r="H13" i="15"/>
  <c r="H11" i="15"/>
  <c r="H10" i="15"/>
  <c r="H8" i="15"/>
  <c r="H10" i="13"/>
  <c r="H9" i="13"/>
  <c r="H8" i="13"/>
  <c r="H6" i="13"/>
  <c r="H183" i="10"/>
  <c r="H179" i="10"/>
  <c r="H178" i="10"/>
  <c r="H171" i="10"/>
  <c r="H170" i="10"/>
  <c r="H133" i="10"/>
  <c r="H132" i="10"/>
  <c r="H129" i="10"/>
  <c r="H128" i="10"/>
  <c r="H127" i="10"/>
  <c r="H126" i="10"/>
  <c r="H125" i="10"/>
  <c r="H124" i="10"/>
  <c r="H121" i="10"/>
  <c r="H118" i="10"/>
  <c r="H117" i="10"/>
  <c r="H110" i="10"/>
  <c r="H106" i="10"/>
  <c r="H105" i="10"/>
  <c r="H104" i="10"/>
  <c r="H103" i="10"/>
  <c r="H102" i="10"/>
  <c r="H101" i="10"/>
  <c r="H100" i="10"/>
  <c r="H98" i="10"/>
  <c r="H96" i="10"/>
  <c r="H81" i="10"/>
  <c r="H80" i="10"/>
  <c r="H78" i="10"/>
  <c r="H77" i="10"/>
  <c r="H74" i="10"/>
  <c r="H73" i="10"/>
  <c r="H72" i="10"/>
  <c r="H71" i="10"/>
  <c r="H70" i="10"/>
  <c r="H67" i="10"/>
  <c r="H66" i="10"/>
  <c r="H62" i="10"/>
  <c r="H60" i="10"/>
  <c r="H59" i="10"/>
  <c r="H58" i="10"/>
  <c r="H57" i="10"/>
  <c r="H56" i="10"/>
  <c r="H54" i="10"/>
  <c r="H53" i="10"/>
  <c r="H52" i="10"/>
  <c r="H51" i="10"/>
  <c r="H48" i="10"/>
  <c r="H47" i="10"/>
  <c r="H46" i="10"/>
  <c r="H45" i="10"/>
  <c r="H42" i="10"/>
  <c r="H40" i="10"/>
  <c r="H36" i="10"/>
  <c r="H35" i="10"/>
  <c r="H34" i="10"/>
  <c r="H33" i="10"/>
  <c r="H30" i="10"/>
  <c r="H29" i="10"/>
  <c r="H28" i="10"/>
  <c r="H27" i="10"/>
  <c r="H24" i="10"/>
  <c r="H23" i="10"/>
  <c r="H22" i="10"/>
  <c r="H21" i="10"/>
  <c r="H17" i="10"/>
  <c r="H16" i="10"/>
  <c r="H15" i="10"/>
  <c r="H14" i="10"/>
  <c r="H11" i="10"/>
  <c r="H10" i="10"/>
  <c r="H9" i="10"/>
  <c r="H8" i="10"/>
  <c r="H79" i="10"/>
  <c r="H82" i="10"/>
  <c r="H10" i="20" l="1"/>
  <c r="H9" i="20"/>
  <c r="H8" i="20"/>
  <c r="H10" i="19"/>
  <c r="H8" i="19"/>
  <c r="H5" i="19"/>
  <c r="H84" i="17"/>
  <c r="H83" i="17"/>
  <c r="H82" i="17"/>
  <c r="H81" i="17"/>
  <c r="H80" i="17"/>
  <c r="H79" i="17"/>
  <c r="H75" i="15"/>
  <c r="H72" i="15"/>
  <c r="H71" i="15"/>
  <c r="H67" i="15"/>
  <c r="H66" i="15"/>
  <c r="H63" i="15"/>
  <c r="H61" i="15"/>
  <c r="H60" i="15"/>
  <c r="H57" i="15"/>
  <c r="H56" i="15"/>
  <c r="H55" i="15"/>
  <c r="H52" i="15"/>
  <c r="H51" i="15"/>
  <c r="H50" i="15"/>
  <c r="H47" i="15"/>
  <c r="H46" i="15"/>
  <c r="H45" i="15"/>
  <c r="H41" i="15"/>
  <c r="H40" i="15"/>
  <c r="H39" i="15"/>
  <c r="H37" i="15"/>
  <c r="H36" i="15"/>
  <c r="H35" i="15"/>
  <c r="H32" i="15"/>
  <c r="H31" i="15"/>
  <c r="H30" i="15"/>
  <c r="H27" i="15"/>
  <c r="H26" i="15"/>
  <c r="H12" i="15"/>
  <c r="H9" i="15"/>
  <c r="I148" i="12" l="1"/>
  <c r="H28" i="11"/>
  <c r="H27" i="11"/>
  <c r="H25" i="11"/>
  <c r="H24" i="11"/>
  <c r="H23" i="11"/>
  <c r="H22" i="11"/>
  <c r="H20" i="11"/>
  <c r="H19" i="11"/>
  <c r="H18" i="11"/>
  <c r="H17" i="11"/>
  <c r="H16" i="11"/>
  <c r="H14" i="11"/>
  <c r="H13" i="11"/>
  <c r="H12" i="11"/>
  <c r="H10" i="11"/>
  <c r="H89" i="10"/>
  <c r="H51" i="7" l="1"/>
  <c r="H50" i="7"/>
  <c r="H49" i="7"/>
  <c r="H46" i="7"/>
  <c r="H45" i="7"/>
  <c r="H37" i="7"/>
  <c r="H34" i="7"/>
  <c r="H33" i="7"/>
  <c r="H32" i="7"/>
  <c r="H29" i="7"/>
  <c r="H28" i="7"/>
  <c r="H27" i="7"/>
  <c r="H24" i="7"/>
  <c r="H23" i="7"/>
  <c r="H22" i="7"/>
  <c r="H21" i="7"/>
  <c r="H16" i="7"/>
  <c r="H15" i="7"/>
  <c r="H11" i="7"/>
  <c r="H10" i="7"/>
  <c r="H7" i="7"/>
  <c r="H380" i="9" l="1"/>
  <c r="H379" i="9"/>
  <c r="H377" i="9"/>
  <c r="H376" i="9"/>
  <c r="H375" i="9"/>
  <c r="H374" i="9"/>
  <c r="H371" i="9"/>
  <c r="H370" i="9"/>
  <c r="H369" i="9"/>
  <c r="H368" i="9"/>
  <c r="H367" i="9"/>
  <c r="H366" i="9"/>
  <c r="H365" i="9"/>
  <c r="H363" i="9"/>
  <c r="H362" i="9"/>
  <c r="H360" i="9"/>
  <c r="H359" i="9"/>
  <c r="H355" i="9"/>
  <c r="H352" i="9"/>
  <c r="H348" i="9"/>
  <c r="H347" i="9"/>
  <c r="H346" i="9"/>
  <c r="H345" i="9"/>
  <c r="H344" i="9"/>
  <c r="H339" i="9"/>
  <c r="H338" i="9"/>
  <c r="H335" i="9"/>
  <c r="H334" i="9"/>
  <c r="H331" i="9"/>
  <c r="H330" i="9"/>
  <c r="H329" i="9"/>
  <c r="H326" i="9"/>
  <c r="H325" i="9"/>
  <c r="H322" i="9"/>
  <c r="H321" i="9"/>
  <c r="H320" i="9"/>
  <c r="H318" i="9"/>
  <c r="H317" i="9"/>
  <c r="H316" i="9"/>
  <c r="H312" i="9"/>
  <c r="H311" i="9"/>
  <c r="H310" i="9"/>
  <c r="H309" i="9"/>
  <c r="H307" i="9"/>
  <c r="H306" i="9"/>
  <c r="H305" i="9"/>
  <c r="H304" i="9"/>
  <c r="H302" i="9"/>
  <c r="H301" i="9"/>
  <c r="H300" i="9"/>
  <c r="H299" i="9"/>
  <c r="H223" i="9"/>
  <c r="H225" i="9"/>
  <c r="H224" i="9"/>
  <c r="H221" i="9"/>
  <c r="H220" i="9"/>
  <c r="H217" i="9"/>
  <c r="H216" i="9"/>
  <c r="H200" i="9"/>
  <c r="H198" i="9"/>
  <c r="H196" i="9"/>
  <c r="H194" i="9"/>
  <c r="H185" i="9"/>
  <c r="H176" i="9"/>
  <c r="H175" i="9"/>
  <c r="H174" i="9"/>
  <c r="H173" i="9"/>
  <c r="H172" i="9"/>
  <c r="H171" i="9"/>
  <c r="H170" i="9"/>
  <c r="H169" i="9"/>
  <c r="H168" i="9"/>
  <c r="H167" i="9"/>
  <c r="H166" i="9"/>
  <c r="H162" i="9"/>
  <c r="H161" i="9"/>
  <c r="H158" i="9"/>
  <c r="H157" i="9"/>
  <c r="H156" i="9"/>
  <c r="H155" i="9"/>
  <c r="H154" i="9"/>
  <c r="H153" i="9"/>
  <c r="H152" i="9"/>
  <c r="H151" i="9"/>
  <c r="H150" i="9"/>
  <c r="H141" i="9"/>
  <c r="H140" i="9"/>
  <c r="H137" i="9"/>
  <c r="H136" i="9"/>
  <c r="H135" i="9"/>
  <c r="H134" i="9"/>
  <c r="H133" i="9"/>
  <c r="H132" i="9"/>
  <c r="H131" i="9"/>
  <c r="H130" i="9"/>
  <c r="H129" i="9"/>
  <c r="H128" i="9"/>
  <c r="H127" i="9"/>
  <c r="H126" i="9"/>
  <c r="H125" i="9"/>
  <c r="H124" i="9"/>
  <c r="H123" i="9"/>
  <c r="H122" i="9"/>
  <c r="H121" i="9"/>
  <c r="H120" i="9"/>
  <c r="H117" i="9"/>
  <c r="H116" i="9"/>
  <c r="H115" i="9"/>
  <c r="H114" i="9"/>
  <c r="H113" i="9"/>
  <c r="H109" i="9"/>
  <c r="H110" i="9"/>
  <c r="H108" i="9"/>
  <c r="H107" i="9"/>
  <c r="H106" i="9"/>
  <c r="H105" i="9"/>
  <c r="H104" i="9"/>
  <c r="H103" i="9"/>
  <c r="H102" i="9"/>
  <c r="H101" i="9"/>
  <c r="H100" i="9"/>
  <c r="H99" i="9"/>
  <c r="H98" i="9"/>
  <c r="H97" i="9"/>
  <c r="H96" i="9"/>
  <c r="H95" i="9"/>
  <c r="H94" i="9"/>
  <c r="H93" i="9"/>
  <c r="H91" i="9"/>
  <c r="H89" i="9"/>
  <c r="H92" i="9"/>
  <c r="H90" i="9"/>
  <c r="H88" i="9"/>
  <c r="H87" i="9"/>
  <c r="H86" i="9"/>
  <c r="H85" i="9"/>
  <c r="H84" i="9"/>
  <c r="H83" i="9"/>
  <c r="H82" i="9"/>
  <c r="H81" i="9"/>
  <c r="H80" i="9"/>
  <c r="H79" i="9"/>
  <c r="H78" i="9"/>
  <c r="H77" i="9"/>
  <c r="H76" i="9"/>
  <c r="H75" i="9"/>
  <c r="H74" i="9"/>
  <c r="H73" i="9"/>
  <c r="H72" i="9"/>
  <c r="H71" i="9"/>
  <c r="H70"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5" i="9"/>
  <c r="H41" i="3"/>
  <c r="H18" i="3"/>
  <c r="H17" i="3"/>
  <c r="H11" i="3"/>
  <c r="H8" i="3"/>
  <c r="H7" i="3"/>
  <c r="H13" i="1" l="1"/>
  <c r="H12" i="1"/>
  <c r="H8" i="1"/>
  <c r="H7" i="1"/>
  <c r="H22" i="16" l="1"/>
  <c r="H20" i="16"/>
  <c r="J80" i="16"/>
  <c r="J81" i="16"/>
  <c r="J82" i="16"/>
  <c r="J83" i="16"/>
  <c r="J84" i="16"/>
  <c r="J85" i="16"/>
  <c r="J59" i="16"/>
  <c r="J60" i="16"/>
  <c r="J61" i="16"/>
  <c r="J55" i="16"/>
  <c r="J56" i="16"/>
  <c r="J51" i="16"/>
  <c r="J52" i="16"/>
  <c r="J161" i="9" l="1"/>
  <c r="J153" i="9"/>
  <c r="J154" i="9"/>
  <c r="J155" i="9"/>
  <c r="J156" i="9"/>
  <c r="J157" i="9"/>
  <c r="J158" i="9"/>
  <c r="J70" i="9"/>
  <c r="H34" i="17"/>
  <c r="H33" i="17"/>
  <c r="H32" i="17"/>
  <c r="H20" i="20" l="1"/>
  <c r="H19" i="20"/>
  <c r="H17" i="20"/>
  <c r="H16" i="20"/>
  <c r="H15" i="20"/>
  <c r="H14" i="20"/>
  <c r="H13" i="20"/>
  <c r="F16" i="19"/>
  <c r="H98" i="17"/>
  <c r="F108" i="17"/>
  <c r="F109" i="17"/>
  <c r="F110" i="17"/>
  <c r="F111" i="17"/>
  <c r="F112" i="17"/>
  <c r="F113" i="17"/>
  <c r="F114" i="17"/>
  <c r="F115" i="17"/>
  <c r="E28" i="17"/>
  <c r="E17" i="17"/>
  <c r="E7" i="17"/>
  <c r="F7" i="17" s="1"/>
  <c r="H5" i="18"/>
  <c r="J116" i="16"/>
  <c r="F122" i="16"/>
  <c r="F121" i="16"/>
  <c r="F120" i="16"/>
  <c r="F119" i="16"/>
  <c r="F116" i="16"/>
  <c r="H70" i="15"/>
  <c r="H62" i="15"/>
  <c r="F75" i="15"/>
  <c r="H93" i="14"/>
  <c r="H92" i="14"/>
  <c r="H91" i="14"/>
  <c r="H90" i="14"/>
  <c r="H89" i="14"/>
  <c r="H88" i="14"/>
  <c r="H85" i="14"/>
  <c r="H54" i="14"/>
  <c r="H44" i="14"/>
  <c r="H14" i="14"/>
  <c r="H13" i="14"/>
  <c r="H12" i="14"/>
  <c r="H5" i="13"/>
  <c r="D7" i="13"/>
  <c r="D4" i="13"/>
  <c r="H32" i="11"/>
  <c r="J32" i="11" s="1"/>
  <c r="H175" i="10"/>
  <c r="H169"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39" i="10"/>
  <c r="H138" i="10"/>
  <c r="H137" i="10"/>
  <c r="H136" i="10"/>
  <c r="H5" i="10"/>
  <c r="F163" i="10"/>
  <c r="F164" i="10"/>
  <c r="F165" i="10"/>
  <c r="F143" i="10"/>
  <c r="F144" i="10"/>
  <c r="F145" i="10"/>
  <c r="F146" i="10"/>
  <c r="F147" i="10"/>
  <c r="F148" i="10"/>
  <c r="F149" i="10"/>
  <c r="F150" i="10"/>
  <c r="H44" i="7"/>
  <c r="H293" i="9"/>
  <c r="H289" i="9"/>
  <c r="H288" i="9"/>
  <c r="H287" i="9"/>
  <c r="H284" i="9"/>
  <c r="H283" i="9"/>
  <c r="H281" i="9"/>
  <c r="H280" i="9"/>
  <c r="H277" i="9"/>
  <c r="H276" i="9"/>
  <c r="H273" i="9"/>
  <c r="H272" i="9"/>
  <c r="H269" i="9"/>
  <c r="H259" i="9"/>
  <c r="H258" i="9"/>
  <c r="H257" i="9"/>
  <c r="H256" i="9"/>
  <c r="H255" i="9"/>
  <c r="H252" i="9"/>
  <c r="H251" i="9"/>
  <c r="H249" i="9"/>
  <c r="H247" i="9"/>
  <c r="H245" i="9"/>
  <c r="H244" i="9"/>
  <c r="H243" i="9"/>
  <c r="H239" i="9"/>
  <c r="H238" i="9"/>
  <c r="H232" i="9"/>
  <c r="H231" i="9"/>
  <c r="H230" i="9"/>
  <c r="H229" i="9"/>
  <c r="H228" i="9"/>
  <c r="H213" i="9"/>
  <c r="H212" i="9"/>
  <c r="H211" i="9"/>
  <c r="H210" i="9"/>
  <c r="H209" i="9"/>
  <c r="H206" i="9"/>
  <c r="H205" i="9"/>
  <c r="H202" i="9"/>
  <c r="H201" i="9"/>
  <c r="H199" i="9"/>
  <c r="H197" i="9"/>
  <c r="H195" i="9"/>
  <c r="H193" i="9"/>
  <c r="H37" i="9"/>
  <c r="H34" i="9"/>
  <c r="H33" i="9"/>
  <c r="H32" i="9"/>
  <c r="H31" i="9"/>
  <c r="H30" i="9"/>
  <c r="H29" i="9"/>
  <c r="H28" i="9"/>
  <c r="H27" i="9"/>
  <c r="H26" i="9"/>
  <c r="H25" i="9"/>
  <c r="H21" i="9"/>
  <c r="E231" i="9" l="1"/>
  <c r="F231" i="9" s="1"/>
  <c r="E232" i="9"/>
  <c r="F232" i="9" s="1"/>
  <c r="F199" i="9"/>
  <c r="I84" i="4"/>
  <c r="I83" i="4"/>
  <c r="I82" i="4"/>
  <c r="I81" i="4"/>
  <c r="I80" i="4"/>
  <c r="I50" i="4"/>
  <c r="I45" i="4"/>
  <c r="H113" i="3"/>
  <c r="H112" i="3"/>
  <c r="H52" i="3"/>
  <c r="H49" i="3"/>
  <c r="H11" i="1"/>
  <c r="H10" i="1"/>
  <c r="H9" i="1"/>
  <c r="I123" i="12"/>
  <c r="H123" i="12"/>
  <c r="G123" i="12"/>
  <c r="F123" i="12"/>
  <c r="E123" i="12"/>
  <c r="D123" i="12"/>
  <c r="C123" i="12"/>
  <c r="B123" i="12"/>
  <c r="H7" i="13"/>
  <c r="H4" i="13"/>
  <c r="F126" i="10" l="1"/>
  <c r="I273" i="9" l="1"/>
  <c r="J273" i="9" s="1"/>
  <c r="E273" i="9"/>
  <c r="F273" i="9" s="1"/>
  <c r="K273" i="9" l="1"/>
  <c r="L273" i="9"/>
  <c r="J199" i="9" l="1"/>
  <c r="K199" i="9" s="1"/>
  <c r="L199" i="9" s="1"/>
  <c r="J115" i="17" l="1"/>
  <c r="K115" i="17" s="1"/>
  <c r="L115" i="17" s="1"/>
  <c r="J109" i="17"/>
  <c r="J110" i="17"/>
  <c r="K110" i="17" s="1"/>
  <c r="J111" i="17"/>
  <c r="K111" i="17" s="1"/>
  <c r="J112" i="17"/>
  <c r="K112" i="17" s="1"/>
  <c r="L112" i="17" s="1"/>
  <c r="J113" i="17"/>
  <c r="J114" i="17"/>
  <c r="F120" i="17"/>
  <c r="J120" i="17"/>
  <c r="F121" i="17"/>
  <c r="J121" i="17"/>
  <c r="F122" i="17"/>
  <c r="J122" i="17"/>
  <c r="F123" i="17"/>
  <c r="J123" i="17"/>
  <c r="F124" i="17"/>
  <c r="J124" i="17"/>
  <c r="F125" i="17"/>
  <c r="J125" i="17"/>
  <c r="K125" i="17" l="1"/>
  <c r="L125" i="17" s="1"/>
  <c r="K122" i="17"/>
  <c r="L122" i="17" s="1"/>
  <c r="K121" i="17"/>
  <c r="L121" i="17" s="1"/>
  <c r="K120" i="17"/>
  <c r="L120" i="17" s="1"/>
  <c r="L111" i="17"/>
  <c r="K113" i="17"/>
  <c r="L113" i="17" s="1"/>
  <c r="K124" i="17"/>
  <c r="L124" i="17" s="1"/>
  <c r="K114" i="17"/>
  <c r="L114" i="17" s="1"/>
  <c r="K109" i="17"/>
  <c r="L109" i="17" s="1"/>
  <c r="L110" i="17"/>
  <c r="K123" i="17"/>
  <c r="L123" i="17" s="1"/>
  <c r="J16" i="19" l="1"/>
  <c r="K16" i="19" s="1"/>
  <c r="L16" i="19" s="1"/>
  <c r="J75" i="15" l="1"/>
  <c r="K75" i="15" s="1"/>
  <c r="L75" i="15" s="1"/>
  <c r="J165" i="10" l="1"/>
  <c r="K165" i="10" s="1"/>
  <c r="L165" i="10" s="1"/>
  <c r="J164" i="10"/>
  <c r="K164" i="10" s="1"/>
  <c r="L164" i="10" s="1"/>
  <c r="J163" i="10"/>
  <c r="K163" i="10" s="1"/>
  <c r="L163" i="10" s="1"/>
  <c r="J143" i="10"/>
  <c r="K143" i="10" s="1"/>
  <c r="L143" i="10" s="1"/>
  <c r="J144" i="10"/>
  <c r="K144" i="10" s="1"/>
  <c r="L144" i="10" s="1"/>
  <c r="J145" i="10"/>
  <c r="K145" i="10" s="1"/>
  <c r="L145" i="10" s="1"/>
  <c r="J146" i="10"/>
  <c r="K146" i="10" s="1"/>
  <c r="L146" i="10" s="1"/>
  <c r="J147" i="10"/>
  <c r="K147" i="10" s="1"/>
  <c r="L147" i="10" s="1"/>
  <c r="J148" i="10"/>
  <c r="K148" i="10" s="1"/>
  <c r="L148" i="10" s="1"/>
  <c r="J149" i="10"/>
  <c r="K149" i="10" s="1"/>
  <c r="L149" i="10" s="1"/>
  <c r="J150" i="10"/>
  <c r="K150" i="10" s="1"/>
  <c r="L150" i="10"/>
  <c r="J122" i="16" l="1"/>
  <c r="K122" i="16" s="1"/>
  <c r="L122" i="16" s="1"/>
  <c r="J121" i="16"/>
  <c r="K121" i="16" s="1"/>
  <c r="J120" i="16"/>
  <c r="J119" i="16"/>
  <c r="L121" i="16" l="1"/>
  <c r="K120" i="16"/>
  <c r="L120" i="16" s="1"/>
  <c r="K119" i="16"/>
  <c r="L119" i="16" s="1"/>
  <c r="J7" i="11" l="1"/>
  <c r="F7" i="11"/>
  <c r="I28" i="17"/>
  <c r="I17" i="17"/>
  <c r="I7" i="17"/>
  <c r="J7" i="17" s="1"/>
  <c r="K7" i="17" s="1"/>
  <c r="L7" i="17" s="1"/>
  <c r="K7" i="11" l="1"/>
  <c r="L7" i="11" s="1"/>
  <c r="F15" i="19"/>
  <c r="E47" i="15"/>
  <c r="E46" i="15"/>
  <c r="E45" i="15"/>
  <c r="F82" i="17"/>
  <c r="F70" i="17"/>
  <c r="F9" i="17"/>
  <c r="F10" i="17"/>
  <c r="F11" i="17"/>
  <c r="F12" i="17"/>
  <c r="F13" i="17"/>
  <c r="F8" i="17"/>
  <c r="E6" i="17"/>
  <c r="F6" i="17" s="1"/>
  <c r="E108" i="16"/>
  <c r="E183" i="10"/>
  <c r="F81" i="10"/>
  <c r="F54" i="10"/>
  <c r="F53" i="10"/>
  <c r="F52" i="10"/>
  <c r="F51" i="10"/>
  <c r="F363" i="9" l="1"/>
  <c r="F348" i="9"/>
  <c r="F347" i="9"/>
  <c r="F346" i="9"/>
  <c r="F345" i="9"/>
  <c r="F344" i="9"/>
  <c r="E325" i="9"/>
  <c r="F325" i="9" s="1"/>
  <c r="F322" i="9"/>
  <c r="F321" i="9"/>
  <c r="F320" i="9"/>
  <c r="F318" i="9"/>
  <c r="F317" i="9"/>
  <c r="F316" i="9"/>
  <c r="F312" i="9"/>
  <c r="F311" i="9"/>
  <c r="F310" i="9"/>
  <c r="F309" i="9"/>
  <c r="F307" i="9"/>
  <c r="F306" i="9"/>
  <c r="F305" i="9"/>
  <c r="F304" i="9"/>
  <c r="F302" i="9"/>
  <c r="F301" i="9"/>
  <c r="F300" i="9"/>
  <c r="F299" i="9"/>
  <c r="E293" i="9"/>
  <c r="F252" i="9"/>
  <c r="F245" i="9"/>
  <c r="F246" i="9"/>
  <c r="F239" i="9"/>
  <c r="F217" i="9"/>
  <c r="E230" i="9"/>
  <c r="E229" i="9"/>
  <c r="E228" i="9"/>
  <c r="F93" i="3" l="1"/>
  <c r="F94" i="3"/>
  <c r="F95" i="3"/>
  <c r="F13" i="1"/>
  <c r="F14" i="1"/>
  <c r="A9" i="20" l="1"/>
  <c r="A10" i="20" s="1"/>
  <c r="A6" i="18"/>
  <c r="A7" i="18" s="1"/>
  <c r="A8" i="18" s="1"/>
  <c r="A9" i="18" s="1"/>
  <c r="A10" i="18" s="1"/>
  <c r="A11" i="18" s="1"/>
  <c r="A12" i="18" s="1"/>
  <c r="A13" i="18" s="1"/>
  <c r="A14" i="18" s="1"/>
  <c r="A18" i="18" s="1"/>
  <c r="A6" i="17"/>
  <c r="A7" i="17" s="1"/>
  <c r="A8" i="17" s="1"/>
  <c r="A14" i="20" l="1"/>
  <c r="A15" i="20" s="1"/>
  <c r="A16" i="20" s="1"/>
  <c r="A17" i="20" s="1"/>
  <c r="A18" i="20" s="1"/>
  <c r="A19" i="20" s="1"/>
  <c r="A20" i="20" s="1"/>
  <c r="A19" i="18"/>
  <c r="A20" i="18" s="1"/>
  <c r="A21" i="18" s="1"/>
  <c r="A22" i="18" s="1"/>
  <c r="A23" i="18" s="1"/>
  <c r="A24" i="18" s="1"/>
  <c r="A25" i="18" s="1"/>
  <c r="A26" i="18" s="1"/>
  <c r="A29" i="18" s="1"/>
  <c r="J51" i="7" l="1"/>
  <c r="F51" i="7"/>
  <c r="J50" i="7"/>
  <c r="F50" i="7"/>
  <c r="J49" i="7"/>
  <c r="F49" i="7"/>
  <c r="I77" i="16"/>
  <c r="J77" i="16" s="1"/>
  <c r="I76" i="16"/>
  <c r="J76" i="16" s="1"/>
  <c r="I75" i="16"/>
  <c r="J75" i="16" s="1"/>
  <c r="E77" i="16"/>
  <c r="F77" i="16" s="1"/>
  <c r="E76" i="16"/>
  <c r="F76" i="16" s="1"/>
  <c r="E75" i="16"/>
  <c r="F75" i="16" s="1"/>
  <c r="F60" i="16"/>
  <c r="F61" i="16"/>
  <c r="F59" i="16"/>
  <c r="K51" i="7" l="1"/>
  <c r="L51" i="7" s="1"/>
  <c r="K50" i="7"/>
  <c r="L50" i="7" s="1"/>
  <c r="K49" i="7"/>
  <c r="L49" i="7" s="1"/>
  <c r="K75" i="16"/>
  <c r="L75" i="16" s="1"/>
  <c r="K77" i="16"/>
  <c r="L77" i="16" s="1"/>
  <c r="K76" i="16"/>
  <c r="L76" i="16" s="1"/>
  <c r="K60" i="16"/>
  <c r="L60" i="16" s="1"/>
  <c r="K61" i="16"/>
  <c r="L61" i="16" s="1"/>
  <c r="K59" i="16"/>
  <c r="L59" i="16" s="1"/>
  <c r="J14" i="1" l="1"/>
  <c r="K14" i="1" s="1"/>
  <c r="L14" i="1" s="1"/>
  <c r="J13" i="1"/>
  <c r="K13" i="1" s="1"/>
  <c r="L13" i="1" s="1"/>
  <c r="J12" i="1"/>
  <c r="J11" i="1"/>
  <c r="J10" i="1"/>
  <c r="J9" i="1"/>
  <c r="J8" i="1"/>
  <c r="J7" i="1"/>
  <c r="I47" i="15" l="1"/>
  <c r="I46" i="15"/>
  <c r="I45" i="15"/>
  <c r="I6" i="17"/>
  <c r="I183" i="10"/>
  <c r="I293" i="9"/>
  <c r="I232" i="9"/>
  <c r="I231" i="9"/>
  <c r="I230" i="9"/>
  <c r="I229" i="9"/>
  <c r="I228" i="9"/>
  <c r="J81" i="10"/>
  <c r="K81" i="10" s="1"/>
  <c r="L81" i="10" s="1"/>
  <c r="J54" i="10"/>
  <c r="K54" i="10" s="1"/>
  <c r="L54" i="10" s="1"/>
  <c r="J53" i="10"/>
  <c r="K53" i="10" s="1"/>
  <c r="L53" i="10" s="1"/>
  <c r="J52" i="10"/>
  <c r="K52" i="10" s="1"/>
  <c r="L52" i="10" s="1"/>
  <c r="J51" i="10"/>
  <c r="K51" i="10" s="1"/>
  <c r="L51" i="10" s="1"/>
  <c r="A8" i="10"/>
  <c r="J363" i="9" l="1"/>
  <c r="K363" i="9" s="1"/>
  <c r="L363" i="9" s="1"/>
  <c r="J252" i="9"/>
  <c r="K252" i="9" s="1"/>
  <c r="L252" i="9" s="1"/>
  <c r="J245" i="9"/>
  <c r="K245" i="9" s="1"/>
  <c r="L245" i="9" s="1"/>
  <c r="J246" i="9"/>
  <c r="K246" i="9" s="1"/>
  <c r="J239" i="9"/>
  <c r="K239" i="9" s="1"/>
  <c r="L239" i="9" s="1"/>
  <c r="J217" i="9"/>
  <c r="K217" i="9" s="1"/>
  <c r="L217" i="9" s="1"/>
  <c r="J20" i="20"/>
  <c r="J19" i="20"/>
  <c r="J17" i="20"/>
  <c r="J16" i="20"/>
  <c r="J15" i="20"/>
  <c r="J14" i="20"/>
  <c r="J13" i="20"/>
  <c r="J10" i="20"/>
  <c r="J9" i="20"/>
  <c r="J8" i="20"/>
  <c r="J15" i="19" l="1"/>
  <c r="K15" i="19" l="1"/>
  <c r="L15" i="19" s="1"/>
  <c r="J82" i="17" l="1"/>
  <c r="K82" i="17" s="1"/>
  <c r="L82" i="17" s="1"/>
  <c r="J70" i="17"/>
  <c r="K70" i="17" s="1"/>
  <c r="L70" i="17" s="1"/>
  <c r="J6" i="17" l="1"/>
  <c r="I126" i="12"/>
  <c r="H126" i="12"/>
  <c r="G126" i="12"/>
  <c r="F126" i="12"/>
  <c r="E126" i="12"/>
  <c r="D126" i="12"/>
  <c r="C126" i="12"/>
  <c r="B126" i="12"/>
  <c r="A5" i="13" l="1"/>
  <c r="A6" i="13" s="1"/>
  <c r="A7" i="13" s="1"/>
  <c r="A8" i="13" s="1"/>
  <c r="A9" i="13" s="1"/>
  <c r="A10" i="13" s="1"/>
  <c r="I234" i="3" l="1"/>
  <c r="J234" i="3" s="1"/>
  <c r="I233" i="3"/>
  <c r="J233" i="3" s="1"/>
  <c r="J232" i="3"/>
  <c r="I228" i="3"/>
  <c r="J228" i="3" s="1"/>
  <c r="I227" i="3"/>
  <c r="J227" i="3" s="1"/>
  <c r="I226" i="3"/>
  <c r="J226" i="3" s="1"/>
  <c r="I225" i="3"/>
  <c r="J225" i="3" s="1"/>
  <c r="I224" i="3"/>
  <c r="J224" i="3" s="1"/>
  <c r="I222" i="3"/>
  <c r="J222" i="3" s="1"/>
  <c r="I221" i="3"/>
  <c r="J221" i="3" s="1"/>
  <c r="I220" i="3"/>
  <c r="J220" i="3" s="1"/>
  <c r="I219" i="3"/>
  <c r="J219" i="3" s="1"/>
  <c r="I218" i="3"/>
  <c r="J218" i="3" s="1"/>
  <c r="I216" i="3"/>
  <c r="J216" i="3" s="1"/>
  <c r="I215" i="3"/>
  <c r="J215" i="3" s="1"/>
  <c r="I214" i="3"/>
  <c r="J214" i="3" s="1"/>
  <c r="I213" i="3"/>
  <c r="J213" i="3" s="1"/>
  <c r="I212" i="3"/>
  <c r="J212" i="3" s="1"/>
  <c r="J211" i="3"/>
  <c r="I209" i="3"/>
  <c r="J209" i="3" s="1"/>
  <c r="I208" i="3"/>
  <c r="J208" i="3" s="1"/>
  <c r="I207" i="3"/>
  <c r="J207" i="3" s="1"/>
  <c r="I206" i="3"/>
  <c r="J206" i="3" s="1"/>
  <c r="I205" i="3"/>
  <c r="J205" i="3" s="1"/>
  <c r="J204" i="3"/>
  <c r="I202" i="3"/>
  <c r="J202" i="3" s="1"/>
  <c r="I201" i="3"/>
  <c r="J201" i="3" s="1"/>
  <c r="I200" i="3"/>
  <c r="J200" i="3" s="1"/>
  <c r="I199" i="3"/>
  <c r="J199" i="3" s="1"/>
  <c r="I198" i="3"/>
  <c r="J198" i="3" s="1"/>
  <c r="I196" i="3"/>
  <c r="J196" i="3" s="1"/>
  <c r="I195" i="3"/>
  <c r="J195" i="3" s="1"/>
  <c r="I194" i="3"/>
  <c r="J194" i="3" s="1"/>
  <c r="I193" i="3"/>
  <c r="J193" i="3" s="1"/>
  <c r="J192" i="3"/>
  <c r="J191" i="3"/>
  <c r="J38" i="3"/>
  <c r="J312" i="9" l="1"/>
  <c r="K312" i="9" s="1"/>
  <c r="L312" i="9" s="1"/>
  <c r="J311" i="9"/>
  <c r="K311" i="9" s="1"/>
  <c r="L311" i="9" s="1"/>
  <c r="J310" i="9"/>
  <c r="K310" i="9" s="1"/>
  <c r="L310" i="9" s="1"/>
  <c r="J309" i="9"/>
  <c r="K309" i="9" s="1"/>
  <c r="L309" i="9" s="1"/>
  <c r="J307" i="9"/>
  <c r="K307" i="9" s="1"/>
  <c r="L307" i="9" s="1"/>
  <c r="J306" i="9"/>
  <c r="K306" i="9" s="1"/>
  <c r="L306" i="9" s="1"/>
  <c r="J305" i="9"/>
  <c r="K305" i="9" s="1"/>
  <c r="L305" i="9" s="1"/>
  <c r="J304" i="9"/>
  <c r="K304" i="9" s="1"/>
  <c r="L304" i="9" s="1"/>
  <c r="J302" i="9"/>
  <c r="K302" i="9" s="1"/>
  <c r="L302" i="9" s="1"/>
  <c r="J301" i="9"/>
  <c r="K301" i="9" s="1"/>
  <c r="L301" i="9" s="1"/>
  <c r="J322" i="9"/>
  <c r="K322" i="9" s="1"/>
  <c r="L322" i="9" s="1"/>
  <c r="J321" i="9"/>
  <c r="K321" i="9" s="1"/>
  <c r="L321" i="9" s="1"/>
  <c r="J320" i="9"/>
  <c r="K320" i="9" s="1"/>
  <c r="L320" i="9" s="1"/>
  <c r="F20" i="20" l="1"/>
  <c r="F19" i="20"/>
  <c r="F17" i="20"/>
  <c r="F16" i="20"/>
  <c r="F15" i="20"/>
  <c r="F14" i="20"/>
  <c r="F13" i="20"/>
  <c r="F10" i="20"/>
  <c r="F9" i="20"/>
  <c r="F8" i="20"/>
  <c r="J14" i="19" l="1"/>
  <c r="F14" i="19"/>
  <c r="J13" i="19"/>
  <c r="F13" i="19"/>
  <c r="J12" i="19"/>
  <c r="F12" i="19"/>
  <c r="J11" i="19"/>
  <c r="F11" i="19"/>
  <c r="J10" i="19"/>
  <c r="F10" i="19"/>
  <c r="J9" i="19"/>
  <c r="F9" i="19"/>
  <c r="J8" i="19"/>
  <c r="F8" i="19"/>
  <c r="J7" i="19"/>
  <c r="F7" i="19"/>
  <c r="J6" i="19"/>
  <c r="F6" i="19"/>
  <c r="J5" i="19"/>
  <c r="F5" i="19"/>
  <c r="J4" i="19"/>
  <c r="F4" i="19"/>
  <c r="J29" i="18" l="1"/>
  <c r="F29" i="18"/>
  <c r="I26" i="18"/>
  <c r="J26" i="18" s="1"/>
  <c r="E26" i="18"/>
  <c r="F26" i="18" s="1"/>
  <c r="I25" i="18"/>
  <c r="J25" i="18" s="1"/>
  <c r="E25" i="18"/>
  <c r="F25" i="18" s="1"/>
  <c r="I24" i="18"/>
  <c r="J24" i="18" s="1"/>
  <c r="E24" i="18"/>
  <c r="F24" i="18" s="1"/>
  <c r="I23" i="18"/>
  <c r="J23" i="18" s="1"/>
  <c r="E23" i="18"/>
  <c r="F23" i="18" s="1"/>
  <c r="I22" i="18"/>
  <c r="J22" i="18" s="1"/>
  <c r="E22" i="18"/>
  <c r="F22" i="18" s="1"/>
  <c r="I21" i="18"/>
  <c r="J21" i="18" s="1"/>
  <c r="E21" i="18"/>
  <c r="F21" i="18" s="1"/>
  <c r="I20" i="18"/>
  <c r="J20" i="18" s="1"/>
  <c r="E20" i="18"/>
  <c r="F20" i="18" s="1"/>
  <c r="I19" i="18"/>
  <c r="J19" i="18" s="1"/>
  <c r="E19" i="18"/>
  <c r="F19" i="18" s="1"/>
  <c r="I18" i="18"/>
  <c r="J18" i="18" s="1"/>
  <c r="E18" i="18"/>
  <c r="F18" i="18" s="1"/>
  <c r="J14" i="18"/>
  <c r="F14" i="18"/>
  <c r="J12" i="18"/>
  <c r="F12" i="18"/>
  <c r="J10" i="18"/>
  <c r="F10" i="18"/>
  <c r="J8" i="18"/>
  <c r="F8" i="18"/>
  <c r="J7" i="18"/>
  <c r="F7" i="18"/>
  <c r="J6" i="18"/>
  <c r="F6" i="18"/>
  <c r="J5" i="18"/>
  <c r="F5" i="18"/>
  <c r="J140" i="17" l="1"/>
  <c r="F140" i="17"/>
  <c r="J139" i="17"/>
  <c r="F139" i="17"/>
  <c r="J138" i="17"/>
  <c r="F138" i="17"/>
  <c r="J129" i="17"/>
  <c r="F129" i="17"/>
  <c r="J128" i="17"/>
  <c r="F128" i="17"/>
  <c r="J127" i="17"/>
  <c r="F127" i="17"/>
  <c r="J126" i="17"/>
  <c r="F126" i="17"/>
  <c r="J108" i="17"/>
  <c r="J107" i="17"/>
  <c r="F107" i="17"/>
  <c r="J106" i="17"/>
  <c r="F106" i="17"/>
  <c r="J105" i="17"/>
  <c r="F105" i="17"/>
  <c r="J104" i="17"/>
  <c r="F104" i="17"/>
  <c r="J103" i="17"/>
  <c r="F103" i="17"/>
  <c r="J102" i="17"/>
  <c r="F102" i="17"/>
  <c r="I101" i="17"/>
  <c r="J101" i="17" s="1"/>
  <c r="E101" i="17"/>
  <c r="F101" i="17" s="1"/>
  <c r="J98" i="17"/>
  <c r="F98" i="17"/>
  <c r="J96" i="17"/>
  <c r="F96" i="17"/>
  <c r="J95" i="17"/>
  <c r="F95" i="17"/>
  <c r="J94" i="17"/>
  <c r="F94" i="17"/>
  <c r="J93" i="17"/>
  <c r="F93" i="17"/>
  <c r="J92" i="17"/>
  <c r="F92" i="17"/>
  <c r="J91" i="17"/>
  <c r="F91" i="17"/>
  <c r="J88" i="17"/>
  <c r="F88" i="17"/>
  <c r="J87" i="17"/>
  <c r="F87" i="17"/>
  <c r="J84" i="17"/>
  <c r="F84" i="17"/>
  <c r="J83" i="17"/>
  <c r="F83" i="17"/>
  <c r="J81" i="17"/>
  <c r="F81" i="17"/>
  <c r="J80" i="17"/>
  <c r="F80" i="17"/>
  <c r="J79" i="17"/>
  <c r="F79" i="17"/>
  <c r="J76" i="17"/>
  <c r="F76" i="17"/>
  <c r="J75" i="17"/>
  <c r="F75" i="17"/>
  <c r="J74" i="17"/>
  <c r="F74" i="17"/>
  <c r="J73" i="17"/>
  <c r="F73" i="17"/>
  <c r="J69" i="17"/>
  <c r="F69" i="17"/>
  <c r="J68" i="17"/>
  <c r="F68" i="17"/>
  <c r="J67" i="17"/>
  <c r="F67" i="17"/>
  <c r="I66" i="17"/>
  <c r="J66" i="17" s="1"/>
  <c r="E66" i="17"/>
  <c r="F66" i="17" s="1"/>
  <c r="J65" i="17"/>
  <c r="F65" i="17"/>
  <c r="J62" i="17"/>
  <c r="F62" i="17"/>
  <c r="J61" i="17"/>
  <c r="F61" i="17"/>
  <c r="J58" i="17"/>
  <c r="F58" i="17"/>
  <c r="J57" i="17"/>
  <c r="F57" i="17"/>
  <c r="J53" i="17"/>
  <c r="F53" i="17"/>
  <c r="J52" i="17"/>
  <c r="F52" i="17"/>
  <c r="J51" i="17"/>
  <c r="F51" i="17"/>
  <c r="J50" i="17"/>
  <c r="F50" i="17"/>
  <c r="J49" i="17"/>
  <c r="F49" i="17"/>
  <c r="J48" i="17"/>
  <c r="F48" i="17"/>
  <c r="J45" i="17"/>
  <c r="F45" i="17"/>
  <c r="J44" i="17"/>
  <c r="F44" i="17"/>
  <c r="J43" i="17"/>
  <c r="F43" i="17"/>
  <c r="J42" i="17"/>
  <c r="F42" i="17"/>
  <c r="J41" i="17"/>
  <c r="F41" i="17"/>
  <c r="J40" i="17"/>
  <c r="F40" i="17"/>
  <c r="J39" i="17"/>
  <c r="F39" i="17"/>
  <c r="J38" i="17"/>
  <c r="F38" i="17"/>
  <c r="J35" i="17"/>
  <c r="F35" i="17"/>
  <c r="J34" i="17"/>
  <c r="F34" i="17"/>
  <c r="J33" i="17"/>
  <c r="F33" i="17"/>
  <c r="J32" i="17"/>
  <c r="F32" i="17"/>
  <c r="J28" i="17"/>
  <c r="F28" i="17"/>
  <c r="J25" i="17"/>
  <c r="F25" i="17"/>
  <c r="J24" i="17"/>
  <c r="F24" i="17"/>
  <c r="J23" i="17"/>
  <c r="F23" i="17"/>
  <c r="J19" i="17"/>
  <c r="F19" i="17"/>
  <c r="J18" i="17"/>
  <c r="F18" i="17"/>
  <c r="J17" i="17"/>
  <c r="F17" i="17"/>
  <c r="J13" i="17"/>
  <c r="J12" i="17"/>
  <c r="J11" i="17"/>
  <c r="J10" i="17"/>
  <c r="J9" i="17"/>
  <c r="J8" i="17"/>
  <c r="K6" i="17"/>
  <c r="L6" i="17" s="1"/>
  <c r="J5" i="17"/>
  <c r="F5" i="17"/>
  <c r="K74" i="17" l="1"/>
  <c r="L74" i="17" s="1"/>
  <c r="K80" i="17"/>
  <c r="L80" i="17" s="1"/>
  <c r="K11" i="17"/>
  <c r="L11" i="17" s="1"/>
  <c r="K25" i="17"/>
  <c r="L25" i="17" s="1"/>
  <c r="K44" i="17"/>
  <c r="L44" i="17" s="1"/>
  <c r="K81" i="17"/>
  <c r="L81" i="17" s="1"/>
  <c r="K88" i="17"/>
  <c r="L88" i="17" s="1"/>
  <c r="K93" i="17"/>
  <c r="L93" i="17" s="1"/>
  <c r="K33" i="17"/>
  <c r="L33" i="17" s="1"/>
  <c r="K67" i="17"/>
  <c r="L67" i="17" s="1"/>
  <c r="K95" i="17"/>
  <c r="L95" i="17" s="1"/>
  <c r="K92" i="17"/>
  <c r="L92" i="17" s="1"/>
  <c r="K96" i="17"/>
  <c r="L96" i="17" s="1"/>
  <c r="K103" i="17"/>
  <c r="L103" i="17" s="1"/>
  <c r="K107" i="17"/>
  <c r="L107" i="17" s="1"/>
  <c r="K98" i="17"/>
  <c r="L98" i="17" s="1"/>
  <c r="K69" i="17"/>
  <c r="L69" i="17" s="1"/>
  <c r="K5" i="17"/>
  <c r="L5" i="17" s="1"/>
  <c r="K84" i="17"/>
  <c r="L84" i="17" s="1"/>
  <c r="K91" i="17"/>
  <c r="L91" i="17" s="1"/>
  <c r="K83" i="17"/>
  <c r="L83" i="17" s="1"/>
  <c r="K73" i="17"/>
  <c r="L73" i="17" s="1"/>
  <c r="K79" i="17"/>
  <c r="L79" i="17" s="1"/>
  <c r="K94" i="17"/>
  <c r="L94" i="17" s="1"/>
  <c r="K87" i="17"/>
  <c r="L87" i="17" s="1"/>
  <c r="K68" i="17"/>
  <c r="L68" i="17" s="1"/>
  <c r="K75" i="17"/>
  <c r="L75" i="17" s="1"/>
  <c r="K140" i="17"/>
  <c r="L140" i="17" s="1"/>
  <c r="K9" i="17"/>
  <c r="L9" i="17" s="1"/>
  <c r="K13" i="17"/>
  <c r="L13" i="17" s="1"/>
  <c r="K23" i="17"/>
  <c r="L23" i="17" s="1"/>
  <c r="K28" i="17"/>
  <c r="L28" i="17" s="1"/>
  <c r="K105" i="17"/>
  <c r="L105" i="17" s="1"/>
  <c r="K128" i="17"/>
  <c r="L128" i="17" s="1"/>
  <c r="K138" i="17"/>
  <c r="L138" i="17" s="1"/>
  <c r="K10" i="17"/>
  <c r="L10" i="17" s="1"/>
  <c r="K17" i="17"/>
  <c r="L17" i="17" s="1"/>
  <c r="K24" i="17"/>
  <c r="L24" i="17" s="1"/>
  <c r="K32" i="17"/>
  <c r="L32" i="17" s="1"/>
  <c r="K38" i="17"/>
  <c r="L38" i="17" s="1"/>
  <c r="K42" i="17"/>
  <c r="L42" i="17" s="1"/>
  <c r="K48" i="17"/>
  <c r="L48" i="17" s="1"/>
  <c r="K52" i="17"/>
  <c r="L52" i="17" s="1"/>
  <c r="K102" i="17"/>
  <c r="L102" i="17" s="1"/>
  <c r="K106" i="17"/>
  <c r="L106" i="17" s="1"/>
  <c r="K129" i="17"/>
  <c r="L129" i="17" s="1"/>
  <c r="K139" i="17"/>
  <c r="L139" i="17" s="1"/>
  <c r="K18" i="17"/>
  <c r="L18" i="17" s="1"/>
  <c r="K126" i="17"/>
  <c r="L126" i="17" s="1"/>
  <c r="K76" i="17"/>
  <c r="L76" i="17" s="1"/>
  <c r="K8" i="17"/>
  <c r="L8" i="17" s="1"/>
  <c r="K12" i="17"/>
  <c r="L12" i="17" s="1"/>
  <c r="K19" i="17"/>
  <c r="L19" i="17" s="1"/>
  <c r="K34" i="17"/>
  <c r="L34" i="17" s="1"/>
  <c r="K40" i="17"/>
  <c r="L40" i="17" s="1"/>
  <c r="K50" i="17"/>
  <c r="L50" i="17" s="1"/>
  <c r="K57" i="17"/>
  <c r="L57" i="17" s="1"/>
  <c r="K61" i="17"/>
  <c r="L61" i="17" s="1"/>
  <c r="K65" i="17"/>
  <c r="L65" i="17" s="1"/>
  <c r="K104" i="17"/>
  <c r="L104" i="17" s="1"/>
  <c r="K108" i="17"/>
  <c r="L108" i="17" s="1"/>
  <c r="K127" i="17"/>
  <c r="L127" i="17" s="1"/>
  <c r="K101" i="17"/>
  <c r="L101" i="17" s="1"/>
  <c r="K66" i="17"/>
  <c r="L66" i="17" s="1"/>
  <c r="K35" i="17"/>
  <c r="L35" i="17" s="1"/>
  <c r="K39" i="17"/>
  <c r="L39" i="17" s="1"/>
  <c r="K41" i="17"/>
  <c r="L41" i="17" s="1"/>
  <c r="K43" i="17"/>
  <c r="L43" i="17" s="1"/>
  <c r="K45" i="17"/>
  <c r="L45" i="17" s="1"/>
  <c r="K49" i="17"/>
  <c r="L49" i="17" s="1"/>
  <c r="K51" i="17"/>
  <c r="L51" i="17" s="1"/>
  <c r="K53" i="17"/>
  <c r="L53" i="17" s="1"/>
  <c r="K58" i="17"/>
  <c r="L58" i="17" s="1"/>
  <c r="K62" i="17"/>
  <c r="L62" i="17" s="1"/>
  <c r="J113" i="16"/>
  <c r="F113" i="16"/>
  <c r="J112" i="16"/>
  <c r="F112" i="16"/>
  <c r="I108" i="16"/>
  <c r="J108" i="16" s="1"/>
  <c r="F108" i="16"/>
  <c r="J105" i="16"/>
  <c r="F105" i="16"/>
  <c r="J104" i="16"/>
  <c r="F104" i="16"/>
  <c r="J103" i="16"/>
  <c r="F103" i="16"/>
  <c r="J100" i="16"/>
  <c r="F100" i="16"/>
  <c r="J99" i="16"/>
  <c r="F99" i="16"/>
  <c r="J98" i="16"/>
  <c r="F98" i="16"/>
  <c r="I95" i="16"/>
  <c r="J95" i="16" s="1"/>
  <c r="E95" i="16"/>
  <c r="F95" i="16" s="1"/>
  <c r="I94" i="16"/>
  <c r="J94" i="16" s="1"/>
  <c r="E94" i="16"/>
  <c r="F94" i="16" s="1"/>
  <c r="I93" i="16"/>
  <c r="J93" i="16" s="1"/>
  <c r="E93" i="16"/>
  <c r="F93" i="16" s="1"/>
  <c r="J90" i="16"/>
  <c r="F90" i="16"/>
  <c r="J89" i="16"/>
  <c r="F89" i="16"/>
  <c r="J88" i="16"/>
  <c r="F88" i="16"/>
  <c r="F85" i="16"/>
  <c r="F84" i="16"/>
  <c r="F83" i="16"/>
  <c r="F82" i="16"/>
  <c r="F81" i="16"/>
  <c r="F80" i="16"/>
  <c r="I72" i="16"/>
  <c r="J72" i="16" s="1"/>
  <c r="E72" i="16"/>
  <c r="F72" i="16" s="1"/>
  <c r="I71" i="16"/>
  <c r="J71" i="16" s="1"/>
  <c r="E71" i="16"/>
  <c r="F71" i="16" s="1"/>
  <c r="I68" i="16"/>
  <c r="J68" i="16" s="1"/>
  <c r="E68" i="16"/>
  <c r="F68" i="16" s="1"/>
  <c r="I67" i="16"/>
  <c r="J67" i="16" s="1"/>
  <c r="E67" i="16"/>
  <c r="F67" i="16" s="1"/>
  <c r="F56" i="16"/>
  <c r="F55" i="16"/>
  <c r="F52" i="16"/>
  <c r="F51" i="16"/>
  <c r="F45" i="16"/>
  <c r="J45" i="16" s="1"/>
  <c r="F41" i="16"/>
  <c r="J41" i="16" s="1"/>
  <c r="F40" i="16"/>
  <c r="J40" i="16" s="1"/>
  <c r="F39" i="16"/>
  <c r="J39" i="16" s="1"/>
  <c r="F38" i="16"/>
  <c r="J38" i="16" s="1"/>
  <c r="F37" i="16"/>
  <c r="J37" i="16" s="1"/>
  <c r="F36" i="16"/>
  <c r="J36" i="16" s="1"/>
  <c r="F35" i="16"/>
  <c r="J35" i="16" s="1"/>
  <c r="F34" i="16"/>
  <c r="J34" i="16" s="1"/>
  <c r="F33" i="16"/>
  <c r="J33" i="16" s="1"/>
  <c r="F32" i="16"/>
  <c r="J32" i="16" s="1"/>
  <c r="F31" i="16"/>
  <c r="J31" i="16" s="1"/>
  <c r="F30" i="16"/>
  <c r="J30" i="16" s="1"/>
  <c r="F29" i="16"/>
  <c r="J29" i="16" s="1"/>
  <c r="F28" i="16"/>
  <c r="J28" i="16" s="1"/>
  <c r="F27" i="16"/>
  <c r="J27" i="16" s="1"/>
  <c r="F26" i="16"/>
  <c r="J26" i="16" s="1"/>
  <c r="I22" i="16"/>
  <c r="J22" i="16" s="1"/>
  <c r="E22" i="16"/>
  <c r="F22" i="16" s="1"/>
  <c r="I21" i="16"/>
  <c r="J21" i="16" s="1"/>
  <c r="E21" i="16"/>
  <c r="F21" i="16" s="1"/>
  <c r="J20" i="16"/>
  <c r="F20" i="16"/>
  <c r="J19" i="16"/>
  <c r="F19" i="16"/>
  <c r="J18" i="16"/>
  <c r="F18" i="16"/>
  <c r="J17" i="16"/>
  <c r="F17" i="16"/>
  <c r="J16" i="16"/>
  <c r="F16" i="16"/>
  <c r="J15" i="16"/>
  <c r="F15" i="16"/>
  <c r="J12" i="16"/>
  <c r="F12" i="16"/>
  <c r="J11" i="16"/>
  <c r="F11" i="16"/>
  <c r="J10" i="16"/>
  <c r="F10" i="16"/>
  <c r="J72" i="15" l="1"/>
  <c r="F72" i="15"/>
  <c r="J71" i="15"/>
  <c r="F71" i="15"/>
  <c r="J70" i="15"/>
  <c r="F70" i="15"/>
  <c r="J67" i="15"/>
  <c r="F67" i="15"/>
  <c r="J66" i="15"/>
  <c r="F66" i="15"/>
  <c r="J63" i="15"/>
  <c r="F63" i="15"/>
  <c r="J62" i="15"/>
  <c r="F62" i="15"/>
  <c r="I61" i="15"/>
  <c r="J61" i="15" s="1"/>
  <c r="E61" i="15"/>
  <c r="F61" i="15" s="1"/>
  <c r="J60" i="15"/>
  <c r="F60" i="15"/>
  <c r="I57" i="15"/>
  <c r="J57" i="15" s="1"/>
  <c r="E57" i="15"/>
  <c r="F57" i="15" s="1"/>
  <c r="I56" i="15"/>
  <c r="J56" i="15" s="1"/>
  <c r="E56" i="15"/>
  <c r="F56" i="15" s="1"/>
  <c r="I55" i="15"/>
  <c r="J55" i="15" s="1"/>
  <c r="E55" i="15"/>
  <c r="F55" i="15" s="1"/>
  <c r="J52" i="15"/>
  <c r="F52" i="15"/>
  <c r="J51" i="15"/>
  <c r="F51" i="15"/>
  <c r="J50" i="15"/>
  <c r="F50" i="15"/>
  <c r="J47" i="15"/>
  <c r="F47" i="15"/>
  <c r="J46" i="15"/>
  <c r="F46" i="15"/>
  <c r="J45" i="15"/>
  <c r="F45" i="15"/>
  <c r="I41" i="15"/>
  <c r="J41" i="15" s="1"/>
  <c r="E41" i="15"/>
  <c r="F41" i="15" s="1"/>
  <c r="I40" i="15"/>
  <c r="J40" i="15" s="1"/>
  <c r="E40" i="15"/>
  <c r="F40" i="15" s="1"/>
  <c r="I39" i="15"/>
  <c r="J39" i="15" s="1"/>
  <c r="E39" i="15"/>
  <c r="F39" i="15" s="1"/>
  <c r="I37" i="15"/>
  <c r="J37" i="15" s="1"/>
  <c r="E37" i="15"/>
  <c r="F37" i="15" s="1"/>
  <c r="I36" i="15"/>
  <c r="J36" i="15" s="1"/>
  <c r="E36" i="15"/>
  <c r="F36" i="15" s="1"/>
  <c r="I35" i="15"/>
  <c r="J35" i="15" s="1"/>
  <c r="E35" i="15"/>
  <c r="F35" i="15" s="1"/>
  <c r="I32" i="15"/>
  <c r="J32" i="15" s="1"/>
  <c r="E32" i="15"/>
  <c r="F32" i="15" s="1"/>
  <c r="I31" i="15"/>
  <c r="J31" i="15" s="1"/>
  <c r="E31" i="15"/>
  <c r="F31" i="15" s="1"/>
  <c r="I30" i="15"/>
  <c r="J30" i="15" s="1"/>
  <c r="E30" i="15"/>
  <c r="F30" i="15" s="1"/>
  <c r="I27" i="15"/>
  <c r="J27" i="15" s="1"/>
  <c r="E27" i="15"/>
  <c r="F27" i="15" s="1"/>
  <c r="I26" i="15"/>
  <c r="J26" i="15" s="1"/>
  <c r="E26" i="15"/>
  <c r="F26" i="15" s="1"/>
  <c r="I16" i="15"/>
  <c r="J16" i="15" s="1"/>
  <c r="E16" i="15"/>
  <c r="F16" i="15" s="1"/>
  <c r="I15" i="15"/>
  <c r="J15" i="15" s="1"/>
  <c r="E15" i="15"/>
  <c r="F15" i="15" s="1"/>
  <c r="I14" i="15"/>
  <c r="J14" i="15" s="1"/>
  <c r="E14" i="15"/>
  <c r="F14" i="15" s="1"/>
  <c r="I13" i="15"/>
  <c r="J13" i="15" s="1"/>
  <c r="E13" i="15"/>
  <c r="F13" i="15" s="1"/>
  <c r="I12" i="15"/>
  <c r="J12" i="15" s="1"/>
  <c r="E12" i="15"/>
  <c r="F12" i="15" s="1"/>
  <c r="I11" i="15"/>
  <c r="J11" i="15" s="1"/>
  <c r="E11" i="15"/>
  <c r="F11" i="15" s="1"/>
  <c r="J10" i="15"/>
  <c r="F10" i="15"/>
  <c r="J9" i="15"/>
  <c r="F9" i="15"/>
  <c r="J8" i="15"/>
  <c r="F8" i="15"/>
  <c r="K67" i="15" l="1"/>
  <c r="K50" i="15"/>
  <c r="L50" i="15" s="1"/>
  <c r="K56" i="15"/>
  <c r="L56" i="15" s="1"/>
  <c r="K62" i="15"/>
  <c r="L62" i="15" s="1"/>
  <c r="K70" i="15"/>
  <c r="L70" i="15" s="1"/>
  <c r="K57" i="15"/>
  <c r="L57" i="15" s="1"/>
  <c r="K63" i="15"/>
  <c r="L63" i="15" s="1"/>
  <c r="K46" i="15"/>
  <c r="L46" i="15" s="1"/>
  <c r="K71" i="15"/>
  <c r="L71" i="15" s="1"/>
  <c r="K52" i="15"/>
  <c r="L52" i="15" s="1"/>
  <c r="K60" i="15"/>
  <c r="L60" i="15" s="1"/>
  <c r="K66" i="15"/>
  <c r="K72" i="15"/>
  <c r="L72" i="15" s="1"/>
  <c r="K30" i="15"/>
  <c r="L30" i="15" s="1"/>
  <c r="K36" i="15"/>
  <c r="L36" i="15" s="1"/>
  <c r="K41" i="15"/>
  <c r="L41" i="15" s="1"/>
  <c r="K11" i="15"/>
  <c r="L11" i="15" s="1"/>
  <c r="K8" i="15"/>
  <c r="L8" i="15" s="1"/>
  <c r="K15" i="15"/>
  <c r="L15" i="15" s="1"/>
  <c r="K9" i="15"/>
  <c r="L9" i="15" s="1"/>
  <c r="K10" i="15"/>
  <c r="L10" i="15" s="1"/>
  <c r="L67" i="15"/>
  <c r="L66" i="15"/>
  <c r="K51" i="15"/>
  <c r="L51" i="15" s="1"/>
  <c r="K45" i="15"/>
  <c r="L45" i="15" s="1"/>
  <c r="K13" i="15"/>
  <c r="L13" i="15" s="1"/>
  <c r="K26" i="15"/>
  <c r="L26" i="15" s="1"/>
  <c r="K32" i="15"/>
  <c r="L32" i="15" s="1"/>
  <c r="K39" i="15"/>
  <c r="L39" i="15" s="1"/>
  <c r="K27" i="15"/>
  <c r="L27" i="15" s="1"/>
  <c r="K35" i="15"/>
  <c r="L35" i="15" s="1"/>
  <c r="K40" i="15"/>
  <c r="L40" i="15" s="1"/>
  <c r="K14" i="15"/>
  <c r="L14" i="15" s="1"/>
  <c r="K55" i="15"/>
  <c r="L55" i="15" s="1"/>
  <c r="K61" i="15"/>
  <c r="L61" i="15" s="1"/>
  <c r="K12" i="15"/>
  <c r="L12" i="15" s="1"/>
  <c r="K16" i="15"/>
  <c r="L16" i="15" s="1"/>
  <c r="K31" i="15"/>
  <c r="L31" i="15" s="1"/>
  <c r="K37" i="15"/>
  <c r="L37" i="15" s="1"/>
  <c r="K47" i="15"/>
  <c r="L47" i="15" s="1"/>
  <c r="J93" i="14"/>
  <c r="F93" i="14"/>
  <c r="J92" i="14"/>
  <c r="F92" i="14"/>
  <c r="J91" i="14"/>
  <c r="F91" i="14"/>
  <c r="J90" i="14"/>
  <c r="F90" i="14"/>
  <c r="J89" i="14"/>
  <c r="F89" i="14"/>
  <c r="J88" i="14"/>
  <c r="F88" i="14"/>
  <c r="I85" i="14"/>
  <c r="J85" i="14" s="1"/>
  <c r="E85" i="14"/>
  <c r="F85" i="14" s="1"/>
  <c r="I84" i="14"/>
  <c r="J84" i="14" s="1"/>
  <c r="E84" i="14"/>
  <c r="F84" i="14" s="1"/>
  <c r="I81" i="14"/>
  <c r="J81" i="14" s="1"/>
  <c r="E81" i="14"/>
  <c r="F81" i="14" s="1"/>
  <c r="I78" i="14"/>
  <c r="J78" i="14" s="1"/>
  <c r="E78" i="14"/>
  <c r="F78" i="14" s="1"/>
  <c r="I77" i="14"/>
  <c r="J77" i="14" s="1"/>
  <c r="E77" i="14"/>
  <c r="F77" i="14" s="1"/>
  <c r="I74" i="14"/>
  <c r="J74" i="14" s="1"/>
  <c r="E74" i="14"/>
  <c r="F74" i="14" s="1"/>
  <c r="I73" i="14"/>
  <c r="J73" i="14" s="1"/>
  <c r="E73" i="14"/>
  <c r="F73" i="14" s="1"/>
  <c r="I71" i="14"/>
  <c r="J71" i="14" s="1"/>
  <c r="E71" i="14"/>
  <c r="F71" i="14" s="1"/>
  <c r="I70" i="14"/>
  <c r="J70" i="14" s="1"/>
  <c r="E70" i="14"/>
  <c r="F70" i="14" s="1"/>
  <c r="I69" i="14"/>
  <c r="J69" i="14" s="1"/>
  <c r="E69" i="14"/>
  <c r="F69" i="14" s="1"/>
  <c r="I68" i="14"/>
  <c r="J68" i="14" s="1"/>
  <c r="E68" i="14"/>
  <c r="F68" i="14" s="1"/>
  <c r="I65" i="14"/>
  <c r="J65" i="14" s="1"/>
  <c r="E65" i="14"/>
  <c r="F65" i="14" s="1"/>
  <c r="I64" i="14"/>
  <c r="J64" i="14" s="1"/>
  <c r="E64" i="14"/>
  <c r="F64" i="14" s="1"/>
  <c r="I63" i="14"/>
  <c r="J63" i="14" s="1"/>
  <c r="E63" i="14"/>
  <c r="F63" i="14" s="1"/>
  <c r="I62" i="14"/>
  <c r="J62" i="14" s="1"/>
  <c r="E62" i="14"/>
  <c r="F62" i="14" s="1"/>
  <c r="I59" i="14"/>
  <c r="J59" i="14" s="1"/>
  <c r="E59" i="14"/>
  <c r="F59" i="14" s="1"/>
  <c r="I58" i="14"/>
  <c r="J58" i="14" s="1"/>
  <c r="E58" i="14"/>
  <c r="F58" i="14" s="1"/>
  <c r="I57" i="14"/>
  <c r="J57" i="14" s="1"/>
  <c r="E57" i="14"/>
  <c r="F57" i="14" s="1"/>
  <c r="I56" i="14"/>
  <c r="J56" i="14" s="1"/>
  <c r="E56" i="14"/>
  <c r="F56" i="14" s="1"/>
  <c r="I55" i="14"/>
  <c r="J55" i="14" s="1"/>
  <c r="E55" i="14"/>
  <c r="F55" i="14" s="1"/>
  <c r="I54" i="14"/>
  <c r="J54" i="14" s="1"/>
  <c r="E54" i="14"/>
  <c r="F54" i="14" s="1"/>
  <c r="I50" i="14"/>
  <c r="J50" i="14" s="1"/>
  <c r="E50" i="14"/>
  <c r="F50" i="14" s="1"/>
  <c r="I49" i="14"/>
  <c r="J49" i="14" s="1"/>
  <c r="E49" i="14"/>
  <c r="F49" i="14" s="1"/>
  <c r="I46" i="14"/>
  <c r="J46" i="14" s="1"/>
  <c r="E46" i="14"/>
  <c r="F46" i="14" s="1"/>
  <c r="I45" i="14"/>
  <c r="J45" i="14" s="1"/>
  <c r="E45" i="14"/>
  <c r="F45" i="14" s="1"/>
  <c r="I44" i="14"/>
  <c r="J44" i="14" s="1"/>
  <c r="E44" i="14"/>
  <c r="F44" i="14" s="1"/>
  <c r="I36" i="14"/>
  <c r="J36" i="14" s="1"/>
  <c r="E36" i="14"/>
  <c r="F36" i="14" s="1"/>
  <c r="I35" i="14"/>
  <c r="J35" i="14" s="1"/>
  <c r="E35" i="14"/>
  <c r="F35" i="14" s="1"/>
  <c r="I32" i="14"/>
  <c r="J32" i="14" s="1"/>
  <c r="E32" i="14"/>
  <c r="F32" i="14" s="1"/>
  <c r="I31" i="14"/>
  <c r="J31" i="14" s="1"/>
  <c r="E31" i="14"/>
  <c r="F31" i="14" s="1"/>
  <c r="I30" i="14"/>
  <c r="J30" i="14" s="1"/>
  <c r="E30" i="14"/>
  <c r="F30" i="14" s="1"/>
  <c r="I29" i="14"/>
  <c r="J29" i="14" s="1"/>
  <c r="E29" i="14"/>
  <c r="F29" i="14" s="1"/>
  <c r="I28" i="14"/>
  <c r="J28" i="14" s="1"/>
  <c r="E28" i="14"/>
  <c r="F28" i="14" s="1"/>
  <c r="I27" i="14"/>
  <c r="J27" i="14" s="1"/>
  <c r="E27" i="14"/>
  <c r="F27" i="14" s="1"/>
  <c r="I24" i="14"/>
  <c r="J24" i="14" s="1"/>
  <c r="E24" i="14"/>
  <c r="F24" i="14" s="1"/>
  <c r="I23" i="14"/>
  <c r="J23" i="14" s="1"/>
  <c r="E23" i="14"/>
  <c r="F23" i="14" s="1"/>
  <c r="I22" i="14"/>
  <c r="J22" i="14" s="1"/>
  <c r="E22" i="14"/>
  <c r="F22" i="14" s="1"/>
  <c r="J16" i="14"/>
  <c r="F16" i="14"/>
  <c r="I9" i="14"/>
  <c r="E9" i="14"/>
  <c r="I8" i="14"/>
  <c r="E8" i="14"/>
  <c r="I7" i="14"/>
  <c r="J7" i="14" s="1"/>
  <c r="E7" i="14"/>
  <c r="F7" i="14" s="1"/>
  <c r="F13" i="14" l="1"/>
  <c r="F12" i="14"/>
  <c r="J13" i="14"/>
  <c r="J12" i="14"/>
  <c r="F9" i="14"/>
  <c r="J9" i="14"/>
  <c r="J8" i="14"/>
  <c r="F8" i="14"/>
  <c r="F14" i="14" l="1"/>
  <c r="J14" i="14"/>
  <c r="I10" i="13" l="1"/>
  <c r="J10" i="13" s="1"/>
  <c r="E10" i="13"/>
  <c r="F10" i="13" s="1"/>
  <c r="I9" i="13"/>
  <c r="I7" i="13" s="1"/>
  <c r="E9" i="13"/>
  <c r="E7" i="13" s="1"/>
  <c r="F7" i="13" s="1"/>
  <c r="J8" i="13"/>
  <c r="F8" i="13"/>
  <c r="I6" i="13"/>
  <c r="J6" i="13" s="1"/>
  <c r="E6" i="13"/>
  <c r="F6" i="13" s="1"/>
  <c r="J5" i="13"/>
  <c r="F5" i="13"/>
  <c r="I4" i="13" l="1"/>
  <c r="J4" i="13"/>
  <c r="J7" i="13"/>
  <c r="J9" i="13"/>
  <c r="F9" i="13"/>
  <c r="E4" i="13"/>
  <c r="F4" i="13" s="1"/>
  <c r="J35" i="11" l="1"/>
  <c r="J34" i="11"/>
  <c r="F32" i="11"/>
  <c r="J28" i="11"/>
  <c r="F28" i="11"/>
  <c r="J27" i="11"/>
  <c r="F27" i="11"/>
  <c r="J25" i="11"/>
  <c r="F25" i="11"/>
  <c r="J24" i="11"/>
  <c r="F24" i="11"/>
  <c r="J23" i="11"/>
  <c r="F23" i="11"/>
  <c r="J22" i="11"/>
  <c r="F22" i="11"/>
  <c r="J20" i="11"/>
  <c r="F20" i="11"/>
  <c r="J19" i="11"/>
  <c r="F19" i="11"/>
  <c r="J18" i="11"/>
  <c r="F18" i="11"/>
  <c r="J17" i="11"/>
  <c r="F17" i="11"/>
  <c r="J16" i="11"/>
  <c r="F16" i="11"/>
  <c r="J14" i="11"/>
  <c r="F14" i="11"/>
  <c r="J13" i="11"/>
  <c r="F13" i="11"/>
  <c r="J12" i="11"/>
  <c r="F12" i="11"/>
  <c r="J11" i="11"/>
  <c r="F11" i="11"/>
  <c r="J10" i="11"/>
  <c r="F10" i="11"/>
  <c r="J6" i="11"/>
  <c r="F6" i="11"/>
  <c r="J5" i="11"/>
  <c r="F5" i="11"/>
  <c r="J183" i="10" l="1"/>
  <c r="F183" i="10"/>
  <c r="J179" i="10"/>
  <c r="F179" i="10"/>
  <c r="J178" i="10"/>
  <c r="F178" i="10"/>
  <c r="J175" i="10"/>
  <c r="F175" i="10"/>
  <c r="J171" i="10"/>
  <c r="F171" i="10"/>
  <c r="J170" i="10"/>
  <c r="F170" i="10"/>
  <c r="J169" i="10"/>
  <c r="F169" i="10"/>
  <c r="J162" i="10"/>
  <c r="F162" i="10"/>
  <c r="J161" i="10"/>
  <c r="F161" i="10"/>
  <c r="J160" i="10"/>
  <c r="F160" i="10"/>
  <c r="J159" i="10"/>
  <c r="F159" i="10"/>
  <c r="J158" i="10"/>
  <c r="F158" i="10"/>
  <c r="J157" i="10"/>
  <c r="F157" i="10"/>
  <c r="J156" i="10"/>
  <c r="F156" i="10"/>
  <c r="J155" i="10"/>
  <c r="F155" i="10"/>
  <c r="J154" i="10"/>
  <c r="F154" i="10"/>
  <c r="J153" i="10"/>
  <c r="F153" i="10"/>
  <c r="J152" i="10"/>
  <c r="F152" i="10"/>
  <c r="J151" i="10"/>
  <c r="F151" i="10"/>
  <c r="J142" i="10"/>
  <c r="F142" i="10"/>
  <c r="J141" i="10"/>
  <c r="F141" i="10"/>
  <c r="J139" i="10"/>
  <c r="F139" i="10"/>
  <c r="J138" i="10"/>
  <c r="F138" i="10"/>
  <c r="J137" i="10"/>
  <c r="F137" i="10"/>
  <c r="J136" i="10"/>
  <c r="F136" i="10"/>
  <c r="J133" i="10"/>
  <c r="F133" i="10"/>
  <c r="J132" i="10"/>
  <c r="F132" i="10"/>
  <c r="J129" i="10"/>
  <c r="F129" i="10"/>
  <c r="J128" i="10"/>
  <c r="F128" i="10"/>
  <c r="J127" i="10"/>
  <c r="F127" i="10"/>
  <c r="J126" i="10"/>
  <c r="J125" i="10"/>
  <c r="F125" i="10"/>
  <c r="J124" i="10"/>
  <c r="F124" i="10"/>
  <c r="J121" i="10"/>
  <c r="F121" i="10"/>
  <c r="J118" i="10"/>
  <c r="F118" i="10"/>
  <c r="J117" i="10"/>
  <c r="F117" i="10"/>
  <c r="J110" i="10"/>
  <c r="F110" i="10"/>
  <c r="J106" i="10"/>
  <c r="F106" i="10"/>
  <c r="J105" i="10"/>
  <c r="F105" i="10"/>
  <c r="J104" i="10"/>
  <c r="F104" i="10"/>
  <c r="I103" i="10"/>
  <c r="J103" i="10" s="1"/>
  <c r="E103" i="10"/>
  <c r="F103" i="10" s="1"/>
  <c r="I102" i="10"/>
  <c r="J102" i="10" s="1"/>
  <c r="E102" i="10"/>
  <c r="F102" i="10" s="1"/>
  <c r="I101" i="10"/>
  <c r="J101" i="10" s="1"/>
  <c r="E101" i="10"/>
  <c r="F101" i="10" s="1"/>
  <c r="I100" i="10"/>
  <c r="J100" i="10" s="1"/>
  <c r="E100" i="10"/>
  <c r="F100" i="10" s="1"/>
  <c r="I98" i="10"/>
  <c r="J98" i="10" s="1"/>
  <c r="E98" i="10"/>
  <c r="F98" i="10" s="1"/>
  <c r="I96" i="10"/>
  <c r="J96" i="10" s="1"/>
  <c r="E96" i="10"/>
  <c r="F96" i="10" s="1"/>
  <c r="F93" i="10"/>
  <c r="F92" i="10"/>
  <c r="F91" i="10"/>
  <c r="F90" i="10"/>
  <c r="J89" i="10"/>
  <c r="F89" i="10"/>
  <c r="J88" i="10"/>
  <c r="F88" i="10"/>
  <c r="J87" i="10"/>
  <c r="F87" i="10"/>
  <c r="J86" i="10"/>
  <c r="F86" i="10"/>
  <c r="J82" i="10"/>
  <c r="F82" i="10"/>
  <c r="J80" i="10"/>
  <c r="F80" i="10"/>
  <c r="J79" i="10"/>
  <c r="F79" i="10"/>
  <c r="J78" i="10"/>
  <c r="F78" i="10"/>
  <c r="J77" i="10"/>
  <c r="F77" i="10"/>
  <c r="J74" i="10"/>
  <c r="F74" i="10"/>
  <c r="J73" i="10"/>
  <c r="F73" i="10"/>
  <c r="J72" i="10"/>
  <c r="F72" i="10"/>
  <c r="J71" i="10"/>
  <c r="F71" i="10"/>
  <c r="J70" i="10"/>
  <c r="F70" i="10"/>
  <c r="J67" i="10"/>
  <c r="F67" i="10"/>
  <c r="J66" i="10"/>
  <c r="F66" i="10"/>
  <c r="J62" i="10"/>
  <c r="F62" i="10"/>
  <c r="J60" i="10"/>
  <c r="F60" i="10"/>
  <c r="J59" i="10"/>
  <c r="F59" i="10"/>
  <c r="J58" i="10"/>
  <c r="F58" i="10"/>
  <c r="J57" i="10"/>
  <c r="F57" i="10"/>
  <c r="J56" i="10"/>
  <c r="F56" i="10"/>
  <c r="J48" i="10"/>
  <c r="F48" i="10"/>
  <c r="J47" i="10"/>
  <c r="F47" i="10"/>
  <c r="J46" i="10"/>
  <c r="F46" i="10"/>
  <c r="J45" i="10"/>
  <c r="F45" i="10"/>
  <c r="J42" i="10"/>
  <c r="F42" i="10"/>
  <c r="J41" i="10"/>
  <c r="F41" i="10"/>
  <c r="J40" i="10"/>
  <c r="F40" i="10"/>
  <c r="J39" i="10"/>
  <c r="F39" i="10"/>
  <c r="J36" i="10"/>
  <c r="F36" i="10"/>
  <c r="J35" i="10"/>
  <c r="F35" i="10"/>
  <c r="J34" i="10"/>
  <c r="F34" i="10"/>
  <c r="J33" i="10"/>
  <c r="F33" i="10"/>
  <c r="J30" i="10"/>
  <c r="F30" i="10"/>
  <c r="J29" i="10"/>
  <c r="F29" i="10"/>
  <c r="J28" i="10"/>
  <c r="F28" i="10"/>
  <c r="J27" i="10"/>
  <c r="F27" i="10"/>
  <c r="J24" i="10"/>
  <c r="F24" i="10"/>
  <c r="J23" i="10"/>
  <c r="F23" i="10"/>
  <c r="J22" i="10"/>
  <c r="F22" i="10"/>
  <c r="J21" i="10"/>
  <c r="F21" i="10"/>
  <c r="J17" i="10"/>
  <c r="F17" i="10"/>
  <c r="J16" i="10"/>
  <c r="F16" i="10"/>
  <c r="J15" i="10"/>
  <c r="F15" i="10"/>
  <c r="J14" i="10"/>
  <c r="F14" i="10"/>
  <c r="J11" i="10"/>
  <c r="F11" i="10"/>
  <c r="J10" i="10"/>
  <c r="F10" i="10"/>
  <c r="J9" i="10"/>
  <c r="F9" i="10"/>
  <c r="J8" i="10"/>
  <c r="F8" i="10"/>
  <c r="J5" i="10"/>
  <c r="F5" i="10"/>
  <c r="K71" i="10" l="1"/>
  <c r="L71" i="10" s="1"/>
  <c r="K80" i="10"/>
  <c r="L80" i="10" s="1"/>
  <c r="K88" i="10"/>
  <c r="L88" i="10" s="1"/>
  <c r="K105" i="10"/>
  <c r="L105" i="10" s="1"/>
  <c r="K110" i="10"/>
  <c r="L110" i="10" s="1"/>
  <c r="K121" i="10"/>
  <c r="L121" i="10" s="1"/>
  <c r="K127" i="10"/>
  <c r="L127" i="10" s="1"/>
  <c r="K136" i="10"/>
  <c r="L136" i="10" s="1"/>
  <c r="K141" i="10"/>
  <c r="L141" i="10" s="1"/>
  <c r="K34" i="10"/>
  <c r="L34" i="10" s="1"/>
  <c r="K22" i="10"/>
  <c r="L22" i="10" s="1"/>
  <c r="K40" i="10"/>
  <c r="L40" i="10" s="1"/>
  <c r="K15" i="10"/>
  <c r="L15" i="10" s="1"/>
  <c r="K179" i="10"/>
  <c r="L179" i="10" s="1"/>
  <c r="K28" i="10"/>
  <c r="L28" i="10" s="1"/>
  <c r="K62" i="10"/>
  <c r="L62" i="10" s="1"/>
  <c r="K66" i="10"/>
  <c r="L66" i="10" s="1"/>
  <c r="K9" i="10"/>
  <c r="L9" i="10" s="1"/>
  <c r="K46" i="10"/>
  <c r="L46" i="10" s="1"/>
  <c r="K153" i="10"/>
  <c r="L153" i="10" s="1"/>
  <c r="K157" i="10"/>
  <c r="L157" i="10" s="1"/>
  <c r="K161" i="10"/>
  <c r="L161" i="10" s="1"/>
  <c r="K171" i="10"/>
  <c r="L171" i="10" s="1"/>
  <c r="K183" i="10"/>
  <c r="L183" i="10" s="1"/>
  <c r="K72" i="10"/>
  <c r="K60" i="10"/>
  <c r="L60" i="10" s="1"/>
  <c r="K8" i="10"/>
  <c r="L8" i="10" s="1"/>
  <c r="K14" i="10"/>
  <c r="L14" i="10" s="1"/>
  <c r="K21" i="10"/>
  <c r="L21" i="10" s="1"/>
  <c r="K27" i="10"/>
  <c r="L27" i="10" s="1"/>
  <c r="K33" i="10"/>
  <c r="L33" i="10" s="1"/>
  <c r="K39" i="10"/>
  <c r="L39" i="10" s="1"/>
  <c r="K45" i="10"/>
  <c r="L45" i="10" s="1"/>
  <c r="K56" i="10"/>
  <c r="L56" i="10" s="1"/>
  <c r="K57" i="10"/>
  <c r="L57" i="10" s="1"/>
  <c r="K96" i="10"/>
  <c r="L96" i="10" s="1"/>
  <c r="K10" i="10"/>
  <c r="L10" i="10" s="1"/>
  <c r="K16" i="10"/>
  <c r="L16" i="10" s="1"/>
  <c r="K23" i="10"/>
  <c r="L23" i="10" s="1"/>
  <c r="K29" i="10"/>
  <c r="L29" i="10" s="1"/>
  <c r="K35" i="10"/>
  <c r="L35" i="10" s="1"/>
  <c r="K41" i="10"/>
  <c r="L41" i="10" s="1"/>
  <c r="K47" i="10"/>
  <c r="L47" i="10" s="1"/>
  <c r="K58" i="10"/>
  <c r="L58" i="10" s="1"/>
  <c r="K67" i="10"/>
  <c r="L67" i="10" s="1"/>
  <c r="K73" i="10"/>
  <c r="L73" i="10" s="1"/>
  <c r="K78" i="10"/>
  <c r="L78" i="10" s="1"/>
  <c r="K86" i="10"/>
  <c r="L86" i="10" s="1"/>
  <c r="K128" i="10"/>
  <c r="L128" i="10" s="1"/>
  <c r="K132" i="10"/>
  <c r="L132" i="10" s="1"/>
  <c r="K137" i="10"/>
  <c r="L137" i="10" s="1"/>
  <c r="K142" i="10"/>
  <c r="L142" i="10" s="1"/>
  <c r="K154" i="10"/>
  <c r="L154" i="10" s="1"/>
  <c r="K158" i="10"/>
  <c r="L158" i="10" s="1"/>
  <c r="K162" i="10"/>
  <c r="L162" i="10" s="1"/>
  <c r="K175" i="10"/>
  <c r="L175" i="10" s="1"/>
  <c r="K5" i="10"/>
  <c r="L5" i="10" s="1"/>
  <c r="K11" i="10"/>
  <c r="L11" i="10" s="1"/>
  <c r="K17" i="10"/>
  <c r="L17" i="10" s="1"/>
  <c r="K24" i="10"/>
  <c r="L24" i="10" s="1"/>
  <c r="K30" i="10"/>
  <c r="L30" i="10" s="1"/>
  <c r="K36" i="10"/>
  <c r="L36" i="10" s="1"/>
  <c r="K48" i="10"/>
  <c r="L48" i="10" s="1"/>
  <c r="K59" i="10"/>
  <c r="L59" i="10" s="1"/>
  <c r="K70" i="10"/>
  <c r="L70" i="10" s="1"/>
  <c r="K74" i="10"/>
  <c r="L74" i="10" s="1"/>
  <c r="K103" i="10"/>
  <c r="L103" i="10" s="1"/>
  <c r="K117" i="10"/>
  <c r="L117" i="10" s="1"/>
  <c r="K125" i="10"/>
  <c r="L125" i="10" s="1"/>
  <c r="K129" i="10"/>
  <c r="L129" i="10" s="1"/>
  <c r="K138" i="10"/>
  <c r="L138" i="10" s="1"/>
  <c r="K151" i="10"/>
  <c r="L151" i="10" s="1"/>
  <c r="K155" i="10"/>
  <c r="L155" i="10" s="1"/>
  <c r="K159" i="10"/>
  <c r="L159" i="10" s="1"/>
  <c r="K169" i="10"/>
  <c r="L169" i="10" s="1"/>
  <c r="K178" i="10"/>
  <c r="L178" i="10" s="1"/>
  <c r="K101" i="10"/>
  <c r="L101" i="10" s="1"/>
  <c r="K133" i="10"/>
  <c r="L133" i="10" s="1"/>
  <c r="K139" i="10"/>
  <c r="L139" i="10" s="1"/>
  <c r="K152" i="10"/>
  <c r="L152" i="10" s="1"/>
  <c r="K156" i="10"/>
  <c r="L156" i="10" s="1"/>
  <c r="K160" i="10"/>
  <c r="L160" i="10" s="1"/>
  <c r="K170" i="10"/>
  <c r="L170" i="10" s="1"/>
  <c r="K98" i="10"/>
  <c r="L98" i="10" s="1"/>
  <c r="K100" i="10"/>
  <c r="L100" i="10" s="1"/>
  <c r="L72" i="10"/>
  <c r="K102" i="10"/>
  <c r="L102" i="10" s="1"/>
  <c r="K42" i="10"/>
  <c r="L42" i="10" s="1"/>
  <c r="K77" i="10"/>
  <c r="L77" i="10" s="1"/>
  <c r="K79" i="10"/>
  <c r="L79" i="10" s="1"/>
  <c r="K82" i="10"/>
  <c r="L82" i="10" s="1"/>
  <c r="K87" i="10"/>
  <c r="L87" i="10" s="1"/>
  <c r="K89" i="10"/>
  <c r="L89" i="10" s="1"/>
  <c r="K104" i="10"/>
  <c r="L104" i="10" s="1"/>
  <c r="K106" i="10"/>
  <c r="L106" i="10" s="1"/>
  <c r="K118" i="10"/>
  <c r="L118" i="10" s="1"/>
  <c r="K124" i="10"/>
  <c r="L124" i="10" s="1"/>
  <c r="K126" i="10"/>
  <c r="L126" i="10" s="1"/>
  <c r="F380" i="9"/>
  <c r="J380" i="9" s="1"/>
  <c r="F379" i="9"/>
  <c r="J379" i="9" s="1"/>
  <c r="F377" i="9"/>
  <c r="J377" i="9" s="1"/>
  <c r="F376" i="9"/>
  <c r="J376" i="9" s="1"/>
  <c r="F375" i="9"/>
  <c r="J375" i="9" s="1"/>
  <c r="F374" i="9"/>
  <c r="J374" i="9" s="1"/>
  <c r="J371" i="9"/>
  <c r="F371" i="9"/>
  <c r="F370" i="9"/>
  <c r="J370" i="9" s="1"/>
  <c r="F369" i="9"/>
  <c r="J369" i="9" s="1"/>
  <c r="F368" i="9"/>
  <c r="J368" i="9" s="1"/>
  <c r="J367" i="9"/>
  <c r="F367" i="9"/>
  <c r="F366" i="9"/>
  <c r="J366" i="9" s="1"/>
  <c r="F365" i="9"/>
  <c r="J365" i="9" s="1"/>
  <c r="F362" i="9"/>
  <c r="J362" i="9" s="1"/>
  <c r="J361" i="9"/>
  <c r="F361" i="9"/>
  <c r="F360" i="9"/>
  <c r="J360" i="9" s="1"/>
  <c r="F359" i="9"/>
  <c r="J359" i="9" s="1"/>
  <c r="J355" i="9"/>
  <c r="F355" i="9"/>
  <c r="I352" i="9"/>
  <c r="J352" i="9" s="1"/>
  <c r="E352" i="9"/>
  <c r="F352" i="9" s="1"/>
  <c r="J348" i="9"/>
  <c r="J347" i="9"/>
  <c r="J346" i="9"/>
  <c r="J345" i="9"/>
  <c r="J344" i="9"/>
  <c r="J339" i="9"/>
  <c r="F339" i="9"/>
  <c r="J338" i="9"/>
  <c r="F338" i="9"/>
  <c r="J335" i="9"/>
  <c r="F335" i="9"/>
  <c r="J334" i="9"/>
  <c r="F334" i="9"/>
  <c r="J331" i="9"/>
  <c r="F331" i="9"/>
  <c r="J330" i="9"/>
  <c r="F330" i="9"/>
  <c r="J329" i="9"/>
  <c r="F329" i="9"/>
  <c r="I326" i="9"/>
  <c r="J326" i="9" s="1"/>
  <c r="E326" i="9"/>
  <c r="F326" i="9" s="1"/>
  <c r="I325" i="9"/>
  <c r="J325" i="9" s="1"/>
  <c r="J318" i="9"/>
  <c r="J317" i="9"/>
  <c r="J316" i="9"/>
  <c r="J300" i="9"/>
  <c r="J299" i="9"/>
  <c r="J293" i="9"/>
  <c r="F293" i="9"/>
  <c r="J289" i="9"/>
  <c r="F289" i="9"/>
  <c r="J288" i="9"/>
  <c r="F288" i="9"/>
  <c r="J287" i="9"/>
  <c r="F287" i="9"/>
  <c r="J284" i="9"/>
  <c r="F284" i="9"/>
  <c r="J283" i="9"/>
  <c r="F283" i="9"/>
  <c r="J281" i="9"/>
  <c r="F281" i="9"/>
  <c r="J280" i="9"/>
  <c r="F280" i="9"/>
  <c r="J277" i="9"/>
  <c r="F277" i="9"/>
  <c r="J276" i="9"/>
  <c r="F276" i="9"/>
  <c r="I272" i="9"/>
  <c r="J272" i="9" s="1"/>
  <c r="E272" i="9"/>
  <c r="F272" i="9" s="1"/>
  <c r="J269" i="9"/>
  <c r="F269" i="9"/>
  <c r="J259" i="9"/>
  <c r="F259" i="9"/>
  <c r="J258" i="9"/>
  <c r="F258" i="9"/>
  <c r="J257" i="9"/>
  <c r="F257" i="9"/>
  <c r="J256" i="9"/>
  <c r="F256" i="9"/>
  <c r="J255" i="9"/>
  <c r="F255" i="9"/>
  <c r="J251" i="9"/>
  <c r="F251" i="9"/>
  <c r="J249" i="9"/>
  <c r="F249" i="9"/>
  <c r="J247" i="9"/>
  <c r="F247" i="9"/>
  <c r="J244" i="9"/>
  <c r="F244" i="9"/>
  <c r="J243" i="9"/>
  <c r="F243" i="9"/>
  <c r="I238" i="9"/>
  <c r="J238" i="9" s="1"/>
  <c r="E238" i="9"/>
  <c r="F238" i="9" s="1"/>
  <c r="J232" i="9"/>
  <c r="J231" i="9"/>
  <c r="J230" i="9"/>
  <c r="F230" i="9"/>
  <c r="J229" i="9"/>
  <c r="F229" i="9"/>
  <c r="J228" i="9"/>
  <c r="F228" i="9"/>
  <c r="J225" i="9"/>
  <c r="F225" i="9"/>
  <c r="J224" i="9"/>
  <c r="F224" i="9"/>
  <c r="J223" i="9"/>
  <c r="F223" i="9"/>
  <c r="J221" i="9"/>
  <c r="F221" i="9"/>
  <c r="J220" i="9"/>
  <c r="F220" i="9"/>
  <c r="J216" i="9"/>
  <c r="F216" i="9"/>
  <c r="I213" i="9"/>
  <c r="J213" i="9" s="1"/>
  <c r="E213" i="9"/>
  <c r="F213" i="9" s="1"/>
  <c r="I212" i="9"/>
  <c r="J212" i="9" s="1"/>
  <c r="E212" i="9"/>
  <c r="F212" i="9" s="1"/>
  <c r="I211" i="9"/>
  <c r="J211" i="9" s="1"/>
  <c r="E211" i="9"/>
  <c r="F211" i="9" s="1"/>
  <c r="I210" i="9"/>
  <c r="J210" i="9" s="1"/>
  <c r="E210" i="9"/>
  <c r="F210" i="9" s="1"/>
  <c r="I209" i="9"/>
  <c r="J209" i="9" s="1"/>
  <c r="E209" i="9"/>
  <c r="F209" i="9" s="1"/>
  <c r="I206" i="9"/>
  <c r="J206" i="9" s="1"/>
  <c r="E206" i="9"/>
  <c r="F206" i="9" s="1"/>
  <c r="I205" i="9"/>
  <c r="J205" i="9" s="1"/>
  <c r="E205" i="9"/>
  <c r="F205" i="9" s="1"/>
  <c r="J202" i="9"/>
  <c r="F202" i="9"/>
  <c r="J201" i="9"/>
  <c r="F201" i="9"/>
  <c r="J200" i="9"/>
  <c r="F200" i="9"/>
  <c r="J198" i="9"/>
  <c r="F198" i="9"/>
  <c r="J197" i="9"/>
  <c r="F197" i="9"/>
  <c r="J196" i="9"/>
  <c r="F196" i="9"/>
  <c r="J195" i="9"/>
  <c r="F195" i="9"/>
  <c r="J194" i="9"/>
  <c r="F194" i="9"/>
  <c r="J193" i="9"/>
  <c r="F193" i="9"/>
  <c r="J185" i="9"/>
  <c r="F185" i="9"/>
  <c r="J176" i="9"/>
  <c r="F176" i="9"/>
  <c r="J175" i="9"/>
  <c r="F175" i="9"/>
  <c r="J174" i="9"/>
  <c r="F174" i="9"/>
  <c r="J173" i="9"/>
  <c r="F173" i="9"/>
  <c r="J172" i="9"/>
  <c r="F172" i="9"/>
  <c r="J171" i="9"/>
  <c r="F171" i="9"/>
  <c r="J170" i="9"/>
  <c r="F170" i="9"/>
  <c r="J169" i="9"/>
  <c r="F169" i="9"/>
  <c r="J168" i="9"/>
  <c r="F168" i="9"/>
  <c r="J167" i="9"/>
  <c r="F167" i="9"/>
  <c r="J166" i="9"/>
  <c r="F166" i="9"/>
  <c r="J162" i="9"/>
  <c r="F162" i="9"/>
  <c r="F161" i="9"/>
  <c r="F158" i="9"/>
  <c r="F157" i="9"/>
  <c r="F156" i="9"/>
  <c r="F155" i="9"/>
  <c r="F154" i="9"/>
  <c r="F153" i="9"/>
  <c r="J152" i="9"/>
  <c r="F152" i="9"/>
  <c r="J151" i="9"/>
  <c r="F151" i="9"/>
  <c r="J150" i="9"/>
  <c r="F150" i="9"/>
  <c r="J141" i="9"/>
  <c r="F141" i="9"/>
  <c r="J140" i="9"/>
  <c r="F140" i="9"/>
  <c r="J137" i="9"/>
  <c r="F137" i="9"/>
  <c r="J136" i="9"/>
  <c r="F136" i="9"/>
  <c r="J135" i="9"/>
  <c r="F135" i="9"/>
  <c r="J134" i="9"/>
  <c r="F134" i="9"/>
  <c r="J133" i="9"/>
  <c r="F133" i="9"/>
  <c r="J132" i="9"/>
  <c r="F132" i="9"/>
  <c r="J131" i="9"/>
  <c r="F131" i="9"/>
  <c r="J130" i="9"/>
  <c r="F130" i="9"/>
  <c r="J129" i="9"/>
  <c r="F129" i="9"/>
  <c r="J128" i="9"/>
  <c r="F128" i="9"/>
  <c r="J127" i="9"/>
  <c r="F127" i="9"/>
  <c r="J126" i="9"/>
  <c r="F126" i="9"/>
  <c r="J125" i="9"/>
  <c r="F125" i="9"/>
  <c r="J124" i="9"/>
  <c r="F124" i="9"/>
  <c r="J123" i="9"/>
  <c r="F123" i="9"/>
  <c r="J122" i="9"/>
  <c r="F122" i="9"/>
  <c r="J121" i="9"/>
  <c r="F121" i="9"/>
  <c r="J120" i="9"/>
  <c r="F120" i="9"/>
  <c r="J117" i="9"/>
  <c r="F117" i="9"/>
  <c r="J116" i="9"/>
  <c r="F116" i="9"/>
  <c r="J115" i="9"/>
  <c r="F115" i="9"/>
  <c r="J114" i="9"/>
  <c r="F114" i="9"/>
  <c r="J113" i="9"/>
  <c r="F113" i="9"/>
  <c r="J110" i="9"/>
  <c r="F110" i="9"/>
  <c r="J109" i="9"/>
  <c r="F109" i="9"/>
  <c r="J108" i="9"/>
  <c r="F108" i="9"/>
  <c r="J107" i="9"/>
  <c r="F107" i="9"/>
  <c r="J106" i="9"/>
  <c r="F106" i="9"/>
  <c r="J105" i="9"/>
  <c r="F105" i="9"/>
  <c r="J104" i="9"/>
  <c r="F104" i="9"/>
  <c r="J103" i="9"/>
  <c r="F103" i="9"/>
  <c r="J102" i="9"/>
  <c r="F102" i="9"/>
  <c r="J101" i="9"/>
  <c r="F101" i="9"/>
  <c r="J100" i="9"/>
  <c r="F100" i="9"/>
  <c r="J99" i="9"/>
  <c r="F99" i="9"/>
  <c r="J98" i="9"/>
  <c r="F98" i="9"/>
  <c r="J97" i="9"/>
  <c r="F97" i="9"/>
  <c r="J96" i="9"/>
  <c r="F96" i="9"/>
  <c r="J95" i="9"/>
  <c r="F95" i="9"/>
  <c r="J94" i="9"/>
  <c r="F94" i="9"/>
  <c r="J93" i="9"/>
  <c r="F93" i="9"/>
  <c r="J92" i="9"/>
  <c r="F92" i="9"/>
  <c r="J91" i="9"/>
  <c r="F91" i="9"/>
  <c r="J90" i="9"/>
  <c r="F90" i="9"/>
  <c r="J89" i="9"/>
  <c r="F89" i="9"/>
  <c r="J88" i="9"/>
  <c r="F88" i="9"/>
  <c r="J87" i="9"/>
  <c r="F87" i="9"/>
  <c r="J86" i="9"/>
  <c r="F86" i="9"/>
  <c r="J85" i="9"/>
  <c r="F85" i="9"/>
  <c r="J84" i="9"/>
  <c r="F84" i="9"/>
  <c r="J83" i="9"/>
  <c r="F83" i="9"/>
  <c r="J82" i="9"/>
  <c r="F82" i="9"/>
  <c r="J81" i="9"/>
  <c r="F81" i="9"/>
  <c r="J80" i="9"/>
  <c r="F80" i="9"/>
  <c r="J79" i="9"/>
  <c r="F79" i="9"/>
  <c r="J78" i="9"/>
  <c r="F78" i="9"/>
  <c r="J77" i="9"/>
  <c r="F77" i="9"/>
  <c r="J76" i="9"/>
  <c r="F76" i="9"/>
  <c r="J75" i="9"/>
  <c r="F75" i="9"/>
  <c r="J74" i="9"/>
  <c r="F74" i="9"/>
  <c r="J73" i="9"/>
  <c r="F73" i="9"/>
  <c r="J72" i="9"/>
  <c r="F72" i="9"/>
  <c r="J71" i="9"/>
  <c r="F71" i="9"/>
  <c r="F70" i="9"/>
  <c r="J67" i="9"/>
  <c r="F67" i="9"/>
  <c r="J66" i="9"/>
  <c r="F66" i="9"/>
  <c r="J65" i="9"/>
  <c r="F65" i="9"/>
  <c r="J64" i="9"/>
  <c r="F64" i="9"/>
  <c r="J63" i="9"/>
  <c r="F63" i="9"/>
  <c r="J62" i="9"/>
  <c r="F62" i="9"/>
  <c r="J61" i="9"/>
  <c r="F61" i="9"/>
  <c r="J60" i="9"/>
  <c r="F60" i="9"/>
  <c r="J59" i="9"/>
  <c r="F59" i="9"/>
  <c r="J58" i="9"/>
  <c r="F58" i="9"/>
  <c r="J57" i="9"/>
  <c r="F57" i="9"/>
  <c r="J56" i="9"/>
  <c r="F56" i="9"/>
  <c r="J55" i="9"/>
  <c r="F55" i="9"/>
  <c r="J54" i="9"/>
  <c r="F54" i="9"/>
  <c r="J53" i="9"/>
  <c r="F53" i="9"/>
  <c r="J52" i="9"/>
  <c r="F52" i="9"/>
  <c r="J51" i="9"/>
  <c r="F51" i="9"/>
  <c r="J50" i="9"/>
  <c r="F50" i="9"/>
  <c r="J49" i="9"/>
  <c r="F49" i="9"/>
  <c r="J48" i="9"/>
  <c r="F48" i="9"/>
  <c r="J47" i="9"/>
  <c r="F47" i="9"/>
  <c r="J46" i="9"/>
  <c r="F46" i="9"/>
  <c r="J45" i="9"/>
  <c r="F45" i="9"/>
  <c r="J44" i="9"/>
  <c r="F44" i="9"/>
  <c r="J43" i="9"/>
  <c r="F43" i="9"/>
  <c r="J42" i="9"/>
  <c r="F42" i="9"/>
  <c r="J41" i="9"/>
  <c r="F41" i="9"/>
  <c r="J40" i="9"/>
  <c r="F40" i="9"/>
  <c r="J37" i="9"/>
  <c r="F37" i="9"/>
  <c r="J35" i="9"/>
  <c r="F35" i="9"/>
  <c r="J34" i="9"/>
  <c r="F34" i="9"/>
  <c r="J33" i="9"/>
  <c r="F33" i="9"/>
  <c r="J32" i="9"/>
  <c r="F32" i="9"/>
  <c r="J31" i="9"/>
  <c r="F31" i="9"/>
  <c r="J30" i="9"/>
  <c r="F30" i="9"/>
  <c r="J29" i="9"/>
  <c r="F29" i="9"/>
  <c r="J28" i="9"/>
  <c r="F28" i="9"/>
  <c r="J27" i="9"/>
  <c r="F27" i="9"/>
  <c r="J26" i="9"/>
  <c r="F26" i="9"/>
  <c r="J25" i="9"/>
  <c r="F25" i="9"/>
  <c r="J21" i="9"/>
  <c r="F21" i="9"/>
  <c r="K61" i="9" l="1"/>
  <c r="J46" i="7"/>
  <c r="F46" i="7"/>
  <c r="J45" i="7"/>
  <c r="F45" i="7"/>
  <c r="J44" i="7"/>
  <c r="F44" i="7"/>
  <c r="J43" i="7"/>
  <c r="F43" i="7"/>
  <c r="I40" i="7"/>
  <c r="J40" i="7" s="1"/>
  <c r="E40" i="7"/>
  <c r="F40" i="7" s="1"/>
  <c r="I37" i="7"/>
  <c r="J37" i="7" s="1"/>
  <c r="E37" i="7"/>
  <c r="F37" i="7" s="1"/>
  <c r="J34" i="7"/>
  <c r="F34" i="7"/>
  <c r="J33" i="7"/>
  <c r="F33" i="7"/>
  <c r="J32" i="7"/>
  <c r="F32" i="7"/>
  <c r="J29" i="7"/>
  <c r="F29" i="7"/>
  <c r="J28" i="7"/>
  <c r="F28" i="7"/>
  <c r="J27" i="7"/>
  <c r="F27" i="7"/>
  <c r="J24" i="7"/>
  <c r="F24" i="7"/>
  <c r="J23" i="7"/>
  <c r="F23" i="7"/>
  <c r="J22" i="7"/>
  <c r="F22" i="7"/>
  <c r="J21" i="7"/>
  <c r="F21" i="7"/>
  <c r="J18" i="7"/>
  <c r="F18" i="7"/>
  <c r="J17" i="7"/>
  <c r="F17" i="7"/>
  <c r="J16" i="7"/>
  <c r="F16" i="7"/>
  <c r="J15" i="7"/>
  <c r="F15" i="7"/>
  <c r="J12" i="7"/>
  <c r="F12" i="7"/>
  <c r="J11" i="7"/>
  <c r="F11" i="7"/>
  <c r="J10" i="7"/>
  <c r="F10" i="7"/>
  <c r="J7" i="7"/>
  <c r="F7" i="7"/>
  <c r="J6" i="7"/>
  <c r="F6" i="7"/>
  <c r="J5" i="7"/>
  <c r="F5" i="7"/>
  <c r="J137" i="4" l="1"/>
  <c r="K137" i="4" s="1"/>
  <c r="F137" i="4"/>
  <c r="G137" i="4" s="1"/>
  <c r="J136" i="4"/>
  <c r="K136" i="4" s="1"/>
  <c r="F136" i="4"/>
  <c r="G136" i="4" s="1"/>
  <c r="J135" i="4"/>
  <c r="K135" i="4" s="1"/>
  <c r="F135" i="4"/>
  <c r="G135" i="4" s="1"/>
  <c r="J134" i="4"/>
  <c r="K134" i="4" s="1"/>
  <c r="F134" i="4"/>
  <c r="G134" i="4" s="1"/>
  <c r="J129" i="4"/>
  <c r="K129" i="4" s="1"/>
  <c r="F129" i="4"/>
  <c r="G129" i="4" s="1"/>
  <c r="J128" i="4"/>
  <c r="K128" i="4" s="1"/>
  <c r="F128" i="4"/>
  <c r="G128" i="4" s="1"/>
  <c r="J127" i="4"/>
  <c r="K127" i="4" s="1"/>
  <c r="F127" i="4"/>
  <c r="G127" i="4" s="1"/>
  <c r="J126" i="4"/>
  <c r="K126" i="4" s="1"/>
  <c r="F126" i="4"/>
  <c r="G126" i="4" s="1"/>
  <c r="J125" i="4"/>
  <c r="K125" i="4" s="1"/>
  <c r="F125" i="4"/>
  <c r="G125" i="4" s="1"/>
  <c r="J124" i="4"/>
  <c r="K124" i="4" s="1"/>
  <c r="F124" i="4"/>
  <c r="G124" i="4" s="1"/>
  <c r="J123" i="4"/>
  <c r="K123" i="4" s="1"/>
  <c r="F123" i="4"/>
  <c r="G123" i="4" s="1"/>
  <c r="J122" i="4"/>
  <c r="K122" i="4" s="1"/>
  <c r="F122" i="4"/>
  <c r="G122" i="4" s="1"/>
  <c r="J117" i="4"/>
  <c r="K117" i="4" s="1"/>
  <c r="F117" i="4"/>
  <c r="G117" i="4" s="1"/>
  <c r="J116" i="4"/>
  <c r="K116" i="4" s="1"/>
  <c r="F116" i="4"/>
  <c r="G116" i="4" s="1"/>
  <c r="J115" i="4"/>
  <c r="K115" i="4" s="1"/>
  <c r="F115" i="4"/>
  <c r="G115" i="4" s="1"/>
  <c r="J114" i="4"/>
  <c r="K114" i="4" s="1"/>
  <c r="F114" i="4"/>
  <c r="G114" i="4" s="1"/>
  <c r="J113" i="4"/>
  <c r="K113" i="4" s="1"/>
  <c r="F113" i="4"/>
  <c r="G113" i="4" s="1"/>
  <c r="J112" i="4"/>
  <c r="K112" i="4" s="1"/>
  <c r="F112" i="4"/>
  <c r="G112" i="4" s="1"/>
  <c r="J111" i="4"/>
  <c r="K111" i="4" s="1"/>
  <c r="F111" i="4"/>
  <c r="G111" i="4" s="1"/>
  <c r="J110" i="4"/>
  <c r="K110" i="4" s="1"/>
  <c r="F110" i="4"/>
  <c r="G110" i="4" s="1"/>
  <c r="J105" i="4"/>
  <c r="K105" i="4" s="1"/>
  <c r="F105" i="4"/>
  <c r="G105" i="4" s="1"/>
  <c r="J104" i="4"/>
  <c r="K104" i="4" s="1"/>
  <c r="F104" i="4"/>
  <c r="G104" i="4" s="1"/>
  <c r="J103" i="4"/>
  <c r="K103" i="4" s="1"/>
  <c r="F103" i="4"/>
  <c r="G103" i="4" s="1"/>
  <c r="J102" i="4"/>
  <c r="K102" i="4" s="1"/>
  <c r="F102" i="4"/>
  <c r="G102" i="4" s="1"/>
  <c r="J101" i="4"/>
  <c r="K101" i="4" s="1"/>
  <c r="F101" i="4"/>
  <c r="G101" i="4" s="1"/>
  <c r="J100" i="4"/>
  <c r="K100" i="4" s="1"/>
  <c r="F100" i="4"/>
  <c r="G100" i="4" s="1"/>
  <c r="J99" i="4"/>
  <c r="K99" i="4" s="1"/>
  <c r="F99" i="4"/>
  <c r="G99" i="4" s="1"/>
  <c r="J98" i="4"/>
  <c r="K98" i="4" s="1"/>
  <c r="F98" i="4"/>
  <c r="G98" i="4" s="1"/>
  <c r="J91" i="4"/>
  <c r="K91" i="4" s="1"/>
  <c r="F91" i="4"/>
  <c r="G91" i="4" s="1"/>
  <c r="J90" i="4"/>
  <c r="K90" i="4" s="1"/>
  <c r="F90" i="4"/>
  <c r="G90" i="4" s="1"/>
  <c r="J89" i="4"/>
  <c r="K89" i="4" s="1"/>
  <c r="F89" i="4"/>
  <c r="G89" i="4" s="1"/>
  <c r="J88" i="4"/>
  <c r="K88" i="4" s="1"/>
  <c r="F88" i="4"/>
  <c r="G88" i="4" s="1"/>
  <c r="J87" i="4"/>
  <c r="K87" i="4" s="1"/>
  <c r="F87" i="4"/>
  <c r="G87" i="4" s="1"/>
  <c r="J86" i="4"/>
  <c r="K86" i="4" s="1"/>
  <c r="F86" i="4"/>
  <c r="G86" i="4" s="1"/>
  <c r="J85" i="4"/>
  <c r="K85" i="4" s="1"/>
  <c r="F85" i="4"/>
  <c r="G85" i="4" s="1"/>
  <c r="J84" i="4"/>
  <c r="K84" i="4" s="1"/>
  <c r="F84" i="4"/>
  <c r="G84" i="4" s="1"/>
  <c r="J83" i="4"/>
  <c r="K83" i="4" s="1"/>
  <c r="F83" i="4"/>
  <c r="G83" i="4" s="1"/>
  <c r="J82" i="4"/>
  <c r="K82" i="4" s="1"/>
  <c r="F82" i="4"/>
  <c r="G82" i="4" s="1"/>
  <c r="J81" i="4"/>
  <c r="K81" i="4" s="1"/>
  <c r="F81" i="4"/>
  <c r="G81" i="4" s="1"/>
  <c r="J80" i="4"/>
  <c r="K80" i="4" s="1"/>
  <c r="F80" i="4"/>
  <c r="G80" i="4" s="1"/>
  <c r="J79" i="4"/>
  <c r="K79" i="4" s="1"/>
  <c r="F79" i="4"/>
  <c r="G79" i="4" s="1"/>
  <c r="J78" i="4"/>
  <c r="K78" i="4" s="1"/>
  <c r="F78" i="4"/>
  <c r="G78" i="4" s="1"/>
  <c r="J77" i="4"/>
  <c r="K77" i="4" s="1"/>
  <c r="F77" i="4"/>
  <c r="G77" i="4" s="1"/>
  <c r="J74" i="4"/>
  <c r="K74" i="4" s="1"/>
  <c r="F74" i="4"/>
  <c r="G74" i="4" s="1"/>
  <c r="J73" i="4"/>
  <c r="K73" i="4" s="1"/>
  <c r="F73" i="4"/>
  <c r="G73" i="4" s="1"/>
  <c r="J72" i="4"/>
  <c r="K72" i="4" s="1"/>
  <c r="F72" i="4"/>
  <c r="G72" i="4" s="1"/>
  <c r="J71" i="4"/>
  <c r="K71" i="4" s="1"/>
  <c r="F71" i="4"/>
  <c r="G71" i="4" s="1"/>
  <c r="J70" i="4"/>
  <c r="K70" i="4" s="1"/>
  <c r="F70" i="4"/>
  <c r="G70" i="4" s="1"/>
  <c r="J69" i="4"/>
  <c r="K69" i="4" s="1"/>
  <c r="F69" i="4"/>
  <c r="G69" i="4" s="1"/>
  <c r="J62" i="4"/>
  <c r="K62" i="4" s="1"/>
  <c r="F62" i="4"/>
  <c r="G62" i="4" s="1"/>
  <c r="J61" i="4"/>
  <c r="K61" i="4" s="1"/>
  <c r="F61" i="4"/>
  <c r="G61" i="4" s="1"/>
  <c r="J60" i="4"/>
  <c r="K60" i="4" s="1"/>
  <c r="F60" i="4"/>
  <c r="G60" i="4" s="1"/>
  <c r="J59" i="4"/>
  <c r="K59" i="4" s="1"/>
  <c r="F59" i="4"/>
  <c r="G59" i="4" s="1"/>
  <c r="J58" i="4"/>
  <c r="K58" i="4" s="1"/>
  <c r="F58" i="4"/>
  <c r="G58" i="4" s="1"/>
  <c r="J57" i="4"/>
  <c r="K57" i="4" s="1"/>
  <c r="F57" i="4"/>
  <c r="G57" i="4" s="1"/>
  <c r="J56" i="4"/>
  <c r="K56" i="4" s="1"/>
  <c r="F56" i="4"/>
  <c r="G56" i="4" s="1"/>
  <c r="J55" i="4"/>
  <c r="K55" i="4" s="1"/>
  <c r="F55" i="4"/>
  <c r="G55" i="4" s="1"/>
  <c r="J54" i="4"/>
  <c r="K54" i="4" s="1"/>
  <c r="F54" i="4"/>
  <c r="G54" i="4" s="1"/>
  <c r="J53" i="4"/>
  <c r="K53" i="4" s="1"/>
  <c r="F53" i="4"/>
  <c r="G53" i="4" s="1"/>
  <c r="J52" i="4"/>
  <c r="K52" i="4" s="1"/>
  <c r="F52" i="4"/>
  <c r="G52" i="4" s="1"/>
  <c r="J51" i="4"/>
  <c r="K51" i="4" s="1"/>
  <c r="F51" i="4"/>
  <c r="G51" i="4" s="1"/>
  <c r="J50" i="4"/>
  <c r="K50" i="4" s="1"/>
  <c r="F50" i="4"/>
  <c r="G50" i="4" s="1"/>
  <c r="J49" i="4"/>
  <c r="K49" i="4" s="1"/>
  <c r="F49" i="4"/>
  <c r="G49" i="4" s="1"/>
  <c r="J48" i="4"/>
  <c r="K48" i="4" s="1"/>
  <c r="F48" i="4"/>
  <c r="G48" i="4" s="1"/>
  <c r="J47" i="4"/>
  <c r="K47" i="4" s="1"/>
  <c r="F47" i="4"/>
  <c r="G47" i="4" s="1"/>
  <c r="J46" i="4"/>
  <c r="K46" i="4" s="1"/>
  <c r="F46" i="4"/>
  <c r="G46" i="4" s="1"/>
  <c r="J45" i="4"/>
  <c r="K45" i="4" s="1"/>
  <c r="F45" i="4"/>
  <c r="G45" i="4" s="1"/>
  <c r="J43" i="4"/>
  <c r="K43" i="4" s="1"/>
  <c r="F43" i="4"/>
  <c r="G43" i="4" s="1"/>
  <c r="J37" i="4"/>
  <c r="K37" i="4" s="1"/>
  <c r="F37" i="4"/>
  <c r="G37" i="4" s="1"/>
  <c r="J36" i="4"/>
  <c r="K36" i="4" s="1"/>
  <c r="F36" i="4"/>
  <c r="G36" i="4" s="1"/>
  <c r="J35" i="4"/>
  <c r="K35" i="4" s="1"/>
  <c r="F35" i="4"/>
  <c r="G35" i="4" s="1"/>
  <c r="J34" i="4"/>
  <c r="K34" i="4" s="1"/>
  <c r="F34" i="4"/>
  <c r="G34" i="4" s="1"/>
  <c r="J33" i="4"/>
  <c r="K33" i="4" s="1"/>
  <c r="F33" i="4"/>
  <c r="G33" i="4" s="1"/>
  <c r="J32" i="4"/>
  <c r="K32" i="4" s="1"/>
  <c r="F32" i="4"/>
  <c r="G32" i="4" s="1"/>
  <c r="J31" i="4"/>
  <c r="K31" i="4" s="1"/>
  <c r="F31" i="4"/>
  <c r="G31" i="4" s="1"/>
  <c r="J30" i="4"/>
  <c r="K30" i="4" s="1"/>
  <c r="F30" i="4"/>
  <c r="G30" i="4" s="1"/>
  <c r="J29" i="4"/>
  <c r="K29" i="4" s="1"/>
  <c r="F29" i="4"/>
  <c r="G29" i="4" s="1"/>
  <c r="J28" i="4"/>
  <c r="K28" i="4" s="1"/>
  <c r="F28" i="4"/>
  <c r="G28" i="4" s="1"/>
  <c r="J27" i="4"/>
  <c r="K27" i="4" s="1"/>
  <c r="F27" i="4"/>
  <c r="G27" i="4" s="1"/>
  <c r="J26" i="4"/>
  <c r="K26" i="4" s="1"/>
  <c r="F26" i="4"/>
  <c r="G26" i="4" s="1"/>
  <c r="J25" i="4"/>
  <c r="K25" i="4" s="1"/>
  <c r="F25" i="4"/>
  <c r="G25" i="4" s="1"/>
  <c r="J24" i="4"/>
  <c r="K24" i="4" s="1"/>
  <c r="F24" i="4"/>
  <c r="G24" i="4" s="1"/>
  <c r="J23" i="4"/>
  <c r="K23" i="4" s="1"/>
  <c r="F23" i="4"/>
  <c r="G23" i="4" s="1"/>
  <c r="J17" i="4"/>
  <c r="K17" i="4" s="1"/>
  <c r="F17" i="4"/>
  <c r="G17" i="4" s="1"/>
  <c r="J16" i="4"/>
  <c r="K16" i="4" s="1"/>
  <c r="F16" i="4"/>
  <c r="G16" i="4" s="1"/>
  <c r="J15" i="4"/>
  <c r="K15" i="4" s="1"/>
  <c r="F15" i="4"/>
  <c r="G15" i="4" s="1"/>
  <c r="J14" i="4"/>
  <c r="K14" i="4" s="1"/>
  <c r="F14" i="4"/>
  <c r="G14" i="4" s="1"/>
  <c r="J13" i="4"/>
  <c r="K13" i="4" s="1"/>
  <c r="F13" i="4"/>
  <c r="G13" i="4" s="1"/>
  <c r="J12" i="4"/>
  <c r="K12" i="4" s="1"/>
  <c r="F12" i="4"/>
  <c r="G12" i="4" s="1"/>
  <c r="J11" i="4"/>
  <c r="K11" i="4" s="1"/>
  <c r="F11" i="4"/>
  <c r="G11" i="4" s="1"/>
  <c r="J10" i="4"/>
  <c r="K10" i="4" s="1"/>
  <c r="F10" i="4"/>
  <c r="G10" i="4" s="1"/>
  <c r="J9" i="4"/>
  <c r="K9" i="4" s="1"/>
  <c r="F9" i="4"/>
  <c r="G9" i="4" s="1"/>
  <c r="J8" i="4"/>
  <c r="K8" i="4" s="1"/>
  <c r="F8" i="4"/>
  <c r="G8" i="4" s="1"/>
  <c r="J7" i="4"/>
  <c r="K7" i="4" s="1"/>
  <c r="F7" i="4"/>
  <c r="G7" i="4" s="1"/>
  <c r="J6" i="4"/>
  <c r="K6" i="4" s="1"/>
  <c r="F6" i="4"/>
  <c r="G6" i="4" s="1"/>
  <c r="J5" i="4"/>
  <c r="K5" i="4" s="1"/>
  <c r="F5" i="4"/>
  <c r="G5" i="4" s="1"/>
  <c r="J4" i="4"/>
  <c r="K4" i="4" s="1"/>
  <c r="F4" i="4"/>
  <c r="G4" i="4" s="1"/>
  <c r="J3" i="4"/>
  <c r="K3" i="4" s="1"/>
  <c r="F3" i="4"/>
  <c r="G3" i="4" s="1"/>
  <c r="L136" i="4" l="1"/>
  <c r="M136" i="4" s="1"/>
  <c r="L13" i="4"/>
  <c r="M13" i="4" s="1"/>
  <c r="L34" i="4"/>
  <c r="M34" i="4" s="1"/>
  <c r="L60" i="4"/>
  <c r="M60" i="4" s="1"/>
  <c r="L80" i="4"/>
  <c r="M80" i="4" s="1"/>
  <c r="L88" i="4"/>
  <c r="M88" i="4" s="1"/>
  <c r="L134" i="4"/>
  <c r="M134" i="4" s="1"/>
  <c r="L9" i="4"/>
  <c r="M9" i="4" s="1"/>
  <c r="L26" i="4"/>
  <c r="M26" i="4" s="1"/>
  <c r="L56" i="4"/>
  <c r="M56" i="4" s="1"/>
  <c r="L74" i="4"/>
  <c r="M74" i="4" s="1"/>
  <c r="L84" i="4"/>
  <c r="M84" i="4" s="1"/>
  <c r="L98" i="4"/>
  <c r="M98" i="4" s="1"/>
  <c r="L126" i="4"/>
  <c r="M126" i="4" s="1"/>
  <c r="L6" i="4"/>
  <c r="M6" i="4" s="1"/>
  <c r="L10" i="4"/>
  <c r="M10" i="4" s="1"/>
  <c r="L14" i="4"/>
  <c r="M14" i="4" s="1"/>
  <c r="L23" i="4"/>
  <c r="M23" i="4" s="1"/>
  <c r="L27" i="4"/>
  <c r="M27" i="4" s="1"/>
  <c r="L31" i="4"/>
  <c r="M31" i="4" s="1"/>
  <c r="L35" i="4"/>
  <c r="M35" i="4" s="1"/>
  <c r="L45" i="4"/>
  <c r="M45" i="4" s="1"/>
  <c r="L49" i="4"/>
  <c r="M49" i="4" s="1"/>
  <c r="L53" i="4"/>
  <c r="M53" i="4" s="1"/>
  <c r="L57" i="4"/>
  <c r="M57" i="4" s="1"/>
  <c r="L61" i="4"/>
  <c r="M61" i="4" s="1"/>
  <c r="L71" i="4"/>
  <c r="M71" i="4" s="1"/>
  <c r="L77" i="4"/>
  <c r="M77" i="4" s="1"/>
  <c r="L81" i="4"/>
  <c r="M81" i="4" s="1"/>
  <c r="L85" i="4"/>
  <c r="M85" i="4" s="1"/>
  <c r="L89" i="4"/>
  <c r="M89" i="4" s="1"/>
  <c r="L99" i="4"/>
  <c r="M99" i="4" s="1"/>
  <c r="L103" i="4"/>
  <c r="M103" i="4" s="1"/>
  <c r="L111" i="4"/>
  <c r="M111" i="4" s="1"/>
  <c r="L115" i="4"/>
  <c r="M115" i="4" s="1"/>
  <c r="L123" i="4"/>
  <c r="M123" i="4" s="1"/>
  <c r="L127" i="4"/>
  <c r="M127" i="4" s="1"/>
  <c r="L135" i="4"/>
  <c r="M135" i="4" s="1"/>
  <c r="L48" i="4"/>
  <c r="M48" i="4" s="1"/>
  <c r="L114" i="4"/>
  <c r="M114" i="4" s="1"/>
  <c r="L17" i="4"/>
  <c r="M17" i="4" s="1"/>
  <c r="L52" i="4"/>
  <c r="M52" i="4" s="1"/>
  <c r="L122" i="4"/>
  <c r="M122" i="4" s="1"/>
  <c r="L3" i="4"/>
  <c r="M3" i="4" s="1"/>
  <c r="L7" i="4"/>
  <c r="M7" i="4" s="1"/>
  <c r="L11" i="4"/>
  <c r="M11" i="4" s="1"/>
  <c r="L15" i="4"/>
  <c r="M15" i="4" s="1"/>
  <c r="L24" i="4"/>
  <c r="M24" i="4" s="1"/>
  <c r="L28" i="4"/>
  <c r="M28" i="4" s="1"/>
  <c r="L32" i="4"/>
  <c r="M32" i="4" s="1"/>
  <c r="L36" i="4"/>
  <c r="M36" i="4" s="1"/>
  <c r="L46" i="4"/>
  <c r="M46" i="4" s="1"/>
  <c r="L50" i="4"/>
  <c r="M50" i="4" s="1"/>
  <c r="L54" i="4"/>
  <c r="M54" i="4" s="1"/>
  <c r="L58" i="4"/>
  <c r="M58" i="4" s="1"/>
  <c r="L62" i="4"/>
  <c r="M62" i="4" s="1"/>
  <c r="L72" i="4"/>
  <c r="M72" i="4" s="1"/>
  <c r="L78" i="4"/>
  <c r="M78" i="4" s="1"/>
  <c r="L82" i="4"/>
  <c r="M82" i="4" s="1"/>
  <c r="L86" i="4"/>
  <c r="M86" i="4" s="1"/>
  <c r="L90" i="4"/>
  <c r="M90" i="4" s="1"/>
  <c r="L100" i="4"/>
  <c r="M100" i="4" s="1"/>
  <c r="L104" i="4"/>
  <c r="M104" i="4" s="1"/>
  <c r="L112" i="4"/>
  <c r="M112" i="4" s="1"/>
  <c r="L116" i="4"/>
  <c r="M116" i="4" s="1"/>
  <c r="L124" i="4"/>
  <c r="M124" i="4" s="1"/>
  <c r="L128" i="4"/>
  <c r="M128" i="4" s="1"/>
  <c r="L43" i="4"/>
  <c r="M43" i="4" s="1"/>
  <c r="L110" i="4"/>
  <c r="M110" i="4" s="1"/>
  <c r="L5" i="4"/>
  <c r="M5" i="4" s="1"/>
  <c r="L30" i="4"/>
  <c r="M30" i="4" s="1"/>
  <c r="L70" i="4"/>
  <c r="M70" i="4" s="1"/>
  <c r="L102" i="4"/>
  <c r="M102" i="4" s="1"/>
  <c r="L4" i="4"/>
  <c r="M4" i="4" s="1"/>
  <c r="L8" i="4"/>
  <c r="M8" i="4" s="1"/>
  <c r="L12" i="4"/>
  <c r="M12" i="4" s="1"/>
  <c r="L16" i="4"/>
  <c r="M16" i="4" s="1"/>
  <c r="L25" i="4"/>
  <c r="M25" i="4" s="1"/>
  <c r="L29" i="4"/>
  <c r="M29" i="4" s="1"/>
  <c r="L33" i="4"/>
  <c r="M33" i="4" s="1"/>
  <c r="L37" i="4"/>
  <c r="M37" i="4" s="1"/>
  <c r="L47" i="4"/>
  <c r="M47" i="4" s="1"/>
  <c r="L51" i="4"/>
  <c r="M51" i="4" s="1"/>
  <c r="L55" i="4"/>
  <c r="M55" i="4" s="1"/>
  <c r="L59" i="4"/>
  <c r="M59" i="4" s="1"/>
  <c r="L69" i="4"/>
  <c r="M69" i="4" s="1"/>
  <c r="L73" i="4"/>
  <c r="M73" i="4" s="1"/>
  <c r="L79" i="4"/>
  <c r="M79" i="4" s="1"/>
  <c r="L83" i="4"/>
  <c r="M83" i="4" s="1"/>
  <c r="L87" i="4"/>
  <c r="M87" i="4" s="1"/>
  <c r="L91" i="4"/>
  <c r="M91" i="4" s="1"/>
  <c r="L101" i="4"/>
  <c r="M101" i="4" s="1"/>
  <c r="L105" i="4"/>
  <c r="M105" i="4" s="1"/>
  <c r="L113" i="4"/>
  <c r="M113" i="4" s="1"/>
  <c r="L117" i="4"/>
  <c r="M117" i="4" s="1"/>
  <c r="L125" i="4"/>
  <c r="M125" i="4" s="1"/>
  <c r="L129" i="4"/>
  <c r="M129" i="4" s="1"/>
  <c r="L137" i="4"/>
  <c r="M137" i="4" s="1"/>
  <c r="E234" i="3"/>
  <c r="F234" i="3" s="1"/>
  <c r="E233" i="3"/>
  <c r="F233" i="3" s="1"/>
  <c r="F232" i="3"/>
  <c r="E228" i="3"/>
  <c r="F228" i="3" s="1"/>
  <c r="E227" i="3"/>
  <c r="F227" i="3" s="1"/>
  <c r="E226" i="3"/>
  <c r="F226" i="3" s="1"/>
  <c r="E225" i="3"/>
  <c r="F225" i="3" s="1"/>
  <c r="E224" i="3"/>
  <c r="F224" i="3" s="1"/>
  <c r="E222" i="3"/>
  <c r="F222" i="3" s="1"/>
  <c r="E221" i="3"/>
  <c r="F221" i="3" s="1"/>
  <c r="E220" i="3"/>
  <c r="F220" i="3" s="1"/>
  <c r="E219" i="3"/>
  <c r="F219" i="3" s="1"/>
  <c r="E218" i="3"/>
  <c r="F218" i="3" s="1"/>
  <c r="E216" i="3"/>
  <c r="F216" i="3" s="1"/>
  <c r="E215" i="3"/>
  <c r="F215" i="3" s="1"/>
  <c r="E214" i="3"/>
  <c r="F214" i="3" s="1"/>
  <c r="E213" i="3"/>
  <c r="F213" i="3" s="1"/>
  <c r="E212" i="3"/>
  <c r="F212" i="3" s="1"/>
  <c r="F211" i="3"/>
  <c r="E209" i="3"/>
  <c r="F209" i="3" s="1"/>
  <c r="E208" i="3"/>
  <c r="F208" i="3" s="1"/>
  <c r="E207" i="3"/>
  <c r="F207" i="3" s="1"/>
  <c r="E206" i="3"/>
  <c r="F206" i="3" s="1"/>
  <c r="E205" i="3"/>
  <c r="F205" i="3" s="1"/>
  <c r="F204" i="3"/>
  <c r="E202" i="3"/>
  <c r="F202" i="3" s="1"/>
  <c r="E201" i="3"/>
  <c r="F201" i="3" s="1"/>
  <c r="E200" i="3"/>
  <c r="F200" i="3" s="1"/>
  <c r="E199" i="3"/>
  <c r="F199" i="3" s="1"/>
  <c r="E198" i="3"/>
  <c r="F198" i="3" s="1"/>
  <c r="E196" i="3"/>
  <c r="F196" i="3" s="1"/>
  <c r="E195" i="3"/>
  <c r="F195" i="3" s="1"/>
  <c r="E194" i="3"/>
  <c r="F194" i="3" s="1"/>
  <c r="E193" i="3"/>
  <c r="F193" i="3" s="1"/>
  <c r="F192" i="3"/>
  <c r="F191" i="3"/>
  <c r="I187" i="3"/>
  <c r="J187" i="3" s="1"/>
  <c r="E187" i="3"/>
  <c r="F187" i="3" s="1"/>
  <c r="J186" i="3"/>
  <c r="F186" i="3"/>
  <c r="I185" i="3"/>
  <c r="J185" i="3" s="1"/>
  <c r="E185" i="3"/>
  <c r="F185" i="3" s="1"/>
  <c r="I184" i="3"/>
  <c r="J184" i="3" s="1"/>
  <c r="E184" i="3"/>
  <c r="F184" i="3" s="1"/>
  <c r="I183" i="3"/>
  <c r="J183" i="3" s="1"/>
  <c r="E183" i="3"/>
  <c r="F183" i="3" s="1"/>
  <c r="I182" i="3"/>
  <c r="J182" i="3" s="1"/>
  <c r="E182" i="3"/>
  <c r="F182" i="3" s="1"/>
  <c r="I181" i="3"/>
  <c r="J181" i="3" s="1"/>
  <c r="E181" i="3"/>
  <c r="F181" i="3" s="1"/>
  <c r="I180" i="3"/>
  <c r="J180" i="3" s="1"/>
  <c r="E180" i="3"/>
  <c r="F180" i="3" s="1"/>
  <c r="J179" i="3"/>
  <c r="F179" i="3"/>
  <c r="J178" i="3"/>
  <c r="F178" i="3"/>
  <c r="J177" i="3"/>
  <c r="F177" i="3"/>
  <c r="I176" i="3"/>
  <c r="J176" i="3" s="1"/>
  <c r="E176" i="3"/>
  <c r="F176" i="3" s="1"/>
  <c r="J175" i="3"/>
  <c r="F175" i="3"/>
  <c r="J174" i="3"/>
  <c r="F174" i="3"/>
  <c r="J173" i="3"/>
  <c r="F173" i="3"/>
  <c r="I172" i="3"/>
  <c r="J172" i="3" s="1"/>
  <c r="E172" i="3"/>
  <c r="F172" i="3" s="1"/>
  <c r="J169" i="3"/>
  <c r="F169" i="3"/>
  <c r="J168" i="3"/>
  <c r="F168" i="3"/>
  <c r="I167" i="3"/>
  <c r="J167" i="3" s="1"/>
  <c r="E167" i="3"/>
  <c r="F167" i="3" s="1"/>
  <c r="J164" i="3"/>
  <c r="F164" i="3"/>
  <c r="I163" i="3"/>
  <c r="J163" i="3" s="1"/>
  <c r="E163" i="3"/>
  <c r="F163" i="3" s="1"/>
  <c r="I162" i="3"/>
  <c r="J162" i="3" s="1"/>
  <c r="E162" i="3"/>
  <c r="F162" i="3" s="1"/>
  <c r="I161" i="3"/>
  <c r="J161" i="3" s="1"/>
  <c r="E161" i="3"/>
  <c r="F161" i="3" s="1"/>
  <c r="I158" i="3"/>
  <c r="J158" i="3" s="1"/>
  <c r="E158" i="3"/>
  <c r="F158" i="3" s="1"/>
  <c r="J157" i="3"/>
  <c r="F157" i="3"/>
  <c r="J156" i="3"/>
  <c r="F156" i="3"/>
  <c r="J155" i="3"/>
  <c r="F155" i="3"/>
  <c r="I154" i="3"/>
  <c r="J154" i="3" s="1"/>
  <c r="E154" i="3"/>
  <c r="F154" i="3" s="1"/>
  <c r="I151" i="3"/>
  <c r="J151" i="3" s="1"/>
  <c r="E151" i="3"/>
  <c r="F151" i="3" s="1"/>
  <c r="I150" i="3"/>
  <c r="J150" i="3" s="1"/>
  <c r="E150" i="3"/>
  <c r="F150" i="3" s="1"/>
  <c r="I149" i="3"/>
  <c r="J149" i="3" s="1"/>
  <c r="E149" i="3"/>
  <c r="F149" i="3" s="1"/>
  <c r="I148" i="3"/>
  <c r="J148" i="3" s="1"/>
  <c r="E148" i="3"/>
  <c r="F148" i="3" s="1"/>
  <c r="I147" i="3"/>
  <c r="J147" i="3" s="1"/>
  <c r="E147" i="3"/>
  <c r="F147" i="3" s="1"/>
  <c r="I146" i="3"/>
  <c r="J146" i="3" s="1"/>
  <c r="E146" i="3"/>
  <c r="F146" i="3" s="1"/>
  <c r="I145" i="3"/>
  <c r="J145" i="3" s="1"/>
  <c r="E145" i="3"/>
  <c r="F145" i="3" s="1"/>
  <c r="I144" i="3"/>
  <c r="J144" i="3" s="1"/>
  <c r="E144" i="3"/>
  <c r="F144" i="3" s="1"/>
  <c r="I143" i="3"/>
  <c r="J143" i="3" s="1"/>
  <c r="E143" i="3"/>
  <c r="F143" i="3" s="1"/>
  <c r="I140" i="3"/>
  <c r="J140" i="3" s="1"/>
  <c r="E140" i="3"/>
  <c r="F140" i="3" s="1"/>
  <c r="I139" i="3"/>
  <c r="J139" i="3" s="1"/>
  <c r="E139" i="3"/>
  <c r="F139" i="3" s="1"/>
  <c r="I138" i="3"/>
  <c r="J138" i="3" s="1"/>
  <c r="E138" i="3"/>
  <c r="F138" i="3" s="1"/>
  <c r="I137" i="3"/>
  <c r="J137" i="3" s="1"/>
  <c r="E137" i="3"/>
  <c r="F137" i="3" s="1"/>
  <c r="I136" i="3"/>
  <c r="J136" i="3" s="1"/>
  <c r="E136" i="3"/>
  <c r="F136" i="3" s="1"/>
  <c r="I135" i="3"/>
  <c r="J135" i="3" s="1"/>
  <c r="E135" i="3"/>
  <c r="F135" i="3" s="1"/>
  <c r="I134" i="3"/>
  <c r="J134" i="3" s="1"/>
  <c r="E134" i="3"/>
  <c r="F134" i="3" s="1"/>
  <c r="I133" i="3"/>
  <c r="J133" i="3" s="1"/>
  <c r="E133" i="3"/>
  <c r="F133" i="3" s="1"/>
  <c r="I130" i="3"/>
  <c r="J130" i="3" s="1"/>
  <c r="E130" i="3"/>
  <c r="F130" i="3" s="1"/>
  <c r="I129" i="3"/>
  <c r="J129" i="3" s="1"/>
  <c r="E129" i="3"/>
  <c r="F129" i="3" s="1"/>
  <c r="I128" i="3"/>
  <c r="J128" i="3" s="1"/>
  <c r="E128" i="3"/>
  <c r="F128" i="3" s="1"/>
  <c r="I127" i="3"/>
  <c r="J127" i="3" s="1"/>
  <c r="E127" i="3"/>
  <c r="F127" i="3" s="1"/>
  <c r="I126" i="3"/>
  <c r="J126" i="3" s="1"/>
  <c r="E126" i="3"/>
  <c r="F126" i="3" s="1"/>
  <c r="I125" i="3"/>
  <c r="J125" i="3" s="1"/>
  <c r="E125" i="3"/>
  <c r="F125" i="3" s="1"/>
  <c r="I124" i="3"/>
  <c r="J124" i="3" s="1"/>
  <c r="E124" i="3"/>
  <c r="F124" i="3" s="1"/>
  <c r="I123" i="3"/>
  <c r="J123" i="3" s="1"/>
  <c r="E123" i="3"/>
  <c r="F123" i="3" s="1"/>
  <c r="J119" i="3"/>
  <c r="F119" i="3"/>
  <c r="J118" i="3"/>
  <c r="F118" i="3"/>
  <c r="J117" i="3"/>
  <c r="F117" i="3"/>
  <c r="J116" i="3"/>
  <c r="F116" i="3"/>
  <c r="J115" i="3"/>
  <c r="F115" i="3"/>
  <c r="J114" i="3"/>
  <c r="F114" i="3"/>
  <c r="J113" i="3"/>
  <c r="F113" i="3"/>
  <c r="J112" i="3"/>
  <c r="F112" i="3"/>
  <c r="I111" i="3"/>
  <c r="J111" i="3" s="1"/>
  <c r="E111" i="3"/>
  <c r="F111" i="3" s="1"/>
  <c r="I110" i="3"/>
  <c r="J110" i="3" s="1"/>
  <c r="E110" i="3"/>
  <c r="F110" i="3" s="1"/>
  <c r="I109" i="3"/>
  <c r="J109" i="3" s="1"/>
  <c r="E109" i="3"/>
  <c r="F109" i="3" s="1"/>
  <c r="I108" i="3"/>
  <c r="J108" i="3" s="1"/>
  <c r="E108" i="3"/>
  <c r="F108" i="3" s="1"/>
  <c r="I107" i="3"/>
  <c r="J107" i="3" s="1"/>
  <c r="E107" i="3"/>
  <c r="F107" i="3" s="1"/>
  <c r="I106" i="3"/>
  <c r="J106" i="3" s="1"/>
  <c r="E106" i="3"/>
  <c r="F106" i="3" s="1"/>
  <c r="I105" i="3"/>
  <c r="J105" i="3" s="1"/>
  <c r="E105" i="3"/>
  <c r="F105" i="3" s="1"/>
  <c r="I103" i="3"/>
  <c r="J103" i="3" s="1"/>
  <c r="E103" i="3"/>
  <c r="F103" i="3" s="1"/>
  <c r="J102" i="3"/>
  <c r="F102" i="3"/>
  <c r="J101" i="3"/>
  <c r="F101" i="3"/>
  <c r="J99" i="3"/>
  <c r="F99" i="3"/>
  <c r="J98" i="3"/>
  <c r="F98" i="3"/>
  <c r="J95" i="3"/>
  <c r="J94" i="3"/>
  <c r="J93" i="3"/>
  <c r="J92" i="3"/>
  <c r="F92" i="3"/>
  <c r="I88" i="3"/>
  <c r="J88" i="3" s="1"/>
  <c r="E88" i="3"/>
  <c r="F88" i="3" s="1"/>
  <c r="I87" i="3"/>
  <c r="J87" i="3" s="1"/>
  <c r="E87" i="3"/>
  <c r="F87" i="3" s="1"/>
  <c r="I86" i="3"/>
  <c r="J86" i="3" s="1"/>
  <c r="E86" i="3"/>
  <c r="F86" i="3" s="1"/>
  <c r="J85" i="3"/>
  <c r="F85" i="3"/>
  <c r="J84" i="3"/>
  <c r="F84" i="3"/>
  <c r="J83" i="3"/>
  <c r="F83" i="3"/>
  <c r="I82" i="3"/>
  <c r="J82" i="3" s="1"/>
  <c r="E82" i="3"/>
  <c r="F82" i="3" s="1"/>
  <c r="J81" i="3"/>
  <c r="F81" i="3"/>
  <c r="J80" i="3"/>
  <c r="F80" i="3"/>
  <c r="J79" i="3"/>
  <c r="F79" i="3"/>
  <c r="I78" i="3"/>
  <c r="J78" i="3" s="1"/>
  <c r="E78" i="3"/>
  <c r="F78" i="3" s="1"/>
  <c r="I77" i="3"/>
  <c r="J77" i="3" s="1"/>
  <c r="E77" i="3"/>
  <c r="F77" i="3" s="1"/>
  <c r="J76" i="3"/>
  <c r="F76" i="3"/>
  <c r="I75" i="3"/>
  <c r="J75" i="3" s="1"/>
  <c r="E75" i="3"/>
  <c r="F75" i="3" s="1"/>
  <c r="I74" i="3"/>
  <c r="J74" i="3" s="1"/>
  <c r="E74" i="3"/>
  <c r="F74" i="3" s="1"/>
  <c r="I71" i="3"/>
  <c r="J71" i="3" s="1"/>
  <c r="E71" i="3"/>
  <c r="F71" i="3" s="1"/>
  <c r="J70" i="3"/>
  <c r="F70" i="3"/>
  <c r="J69" i="3"/>
  <c r="F69" i="3"/>
  <c r="J68" i="3"/>
  <c r="F68" i="3"/>
  <c r="J65" i="3"/>
  <c r="F65" i="3"/>
  <c r="J60" i="3"/>
  <c r="F60" i="3"/>
  <c r="J59" i="3"/>
  <c r="F59" i="3"/>
  <c r="I56" i="3"/>
  <c r="J56" i="3" s="1"/>
  <c r="E56" i="3"/>
  <c r="F56" i="3" s="1"/>
  <c r="I55" i="3"/>
  <c r="J55" i="3" s="1"/>
  <c r="E55" i="3"/>
  <c r="F55" i="3" s="1"/>
  <c r="I54" i="3"/>
  <c r="J54" i="3" s="1"/>
  <c r="E54" i="3"/>
  <c r="F54" i="3" s="1"/>
  <c r="I53" i="3"/>
  <c r="J53" i="3" s="1"/>
  <c r="E53" i="3"/>
  <c r="F53" i="3" s="1"/>
  <c r="I52" i="3"/>
  <c r="J52" i="3" s="1"/>
  <c r="E52" i="3"/>
  <c r="F52" i="3" s="1"/>
  <c r="J49" i="3"/>
  <c r="F49" i="3"/>
  <c r="J46" i="3"/>
  <c r="F46" i="3"/>
  <c r="J45" i="3"/>
  <c r="F45" i="3"/>
  <c r="J42" i="3"/>
  <c r="F42" i="3"/>
  <c r="J41" i="3"/>
  <c r="F41" i="3"/>
  <c r="F38" i="3"/>
  <c r="J37" i="3"/>
  <c r="F37" i="3"/>
  <c r="I33" i="3"/>
  <c r="J33" i="3" s="1"/>
  <c r="E33" i="3"/>
  <c r="F33" i="3" s="1"/>
  <c r="I32" i="3"/>
  <c r="J32" i="3" s="1"/>
  <c r="E32" i="3"/>
  <c r="F32" i="3" s="1"/>
  <c r="I31" i="3"/>
  <c r="J31" i="3" s="1"/>
  <c r="E31" i="3"/>
  <c r="F31" i="3" s="1"/>
  <c r="I30" i="3"/>
  <c r="J30" i="3" s="1"/>
  <c r="E30" i="3"/>
  <c r="F30" i="3" s="1"/>
  <c r="J27" i="3"/>
  <c r="F27" i="3"/>
  <c r="J26" i="3"/>
  <c r="F26" i="3"/>
  <c r="J23" i="3"/>
  <c r="F23" i="3"/>
  <c r="J22" i="3"/>
  <c r="F22" i="3"/>
  <c r="J19" i="3"/>
  <c r="F19" i="3"/>
  <c r="J18" i="3"/>
  <c r="F18" i="3"/>
  <c r="J17" i="3"/>
  <c r="F17" i="3"/>
  <c r="J16" i="3"/>
  <c r="F16" i="3"/>
  <c r="J15" i="3"/>
  <c r="F15" i="3"/>
  <c r="J12" i="3"/>
  <c r="F12" i="3"/>
  <c r="J11" i="3"/>
  <c r="F11" i="3"/>
  <c r="J8" i="3"/>
  <c r="F8" i="3"/>
  <c r="J7" i="3"/>
  <c r="F7" i="3"/>
  <c r="K38" i="3" l="1"/>
  <c r="L38" i="3" s="1"/>
  <c r="A170" i="10"/>
  <c r="A171" i="10" s="1"/>
  <c r="A172" i="10" s="1"/>
  <c r="A9" i="10"/>
  <c r="K20" i="20"/>
  <c r="L20" i="20" s="1"/>
  <c r="K14" i="20"/>
  <c r="L14" i="20" s="1"/>
  <c r="K13" i="20"/>
  <c r="L13" i="20" s="1"/>
  <c r="K10" i="20"/>
  <c r="L10" i="20" s="1"/>
  <c r="K9" i="20"/>
  <c r="L9" i="20" s="1"/>
  <c r="K8" i="20"/>
  <c r="K15" i="20" l="1"/>
  <c r="L15" i="20" s="1"/>
  <c r="K17" i="20"/>
  <c r="L17" i="20" s="1"/>
  <c r="L8" i="20"/>
  <c r="K19" i="20"/>
  <c r="L19" i="20" s="1"/>
  <c r="K16" i="20"/>
  <c r="L16" i="20" s="1"/>
  <c r="A5" i="19"/>
  <c r="A6" i="19" s="1"/>
  <c r="A7" i="19" s="1"/>
  <c r="A8" i="19" s="1"/>
  <c r="A9" i="19" s="1"/>
  <c r="A10" i="19" s="1"/>
  <c r="A11" i="19" s="1"/>
  <c r="A12" i="19" s="1"/>
  <c r="A13" i="19" s="1"/>
  <c r="A14" i="19" s="1"/>
  <c r="A15" i="19" s="1"/>
  <c r="A16" i="19" l="1"/>
  <c r="K12" i="19"/>
  <c r="L12" i="19" s="1"/>
  <c r="K4" i="19"/>
  <c r="L4" i="19" s="1"/>
  <c r="K6" i="19"/>
  <c r="L6" i="19" s="1"/>
  <c r="K5" i="19"/>
  <c r="L5" i="19" s="1"/>
  <c r="K9" i="19"/>
  <c r="L9" i="19" s="1"/>
  <c r="K11" i="19"/>
  <c r="L11" i="19" s="1"/>
  <c r="K7" i="19"/>
  <c r="L7" i="19" s="1"/>
  <c r="K13" i="19"/>
  <c r="L13" i="19" s="1"/>
  <c r="K14" i="19"/>
  <c r="L14" i="19" s="1"/>
  <c r="K8" i="19"/>
  <c r="L8" i="19" s="1"/>
  <c r="K10" i="19"/>
  <c r="L10" i="19" s="1"/>
  <c r="K12" i="18" l="1"/>
  <c r="L12" i="18" s="1"/>
  <c r="K29" i="18"/>
  <c r="L29" i="18" s="1"/>
  <c r="K6" i="18"/>
  <c r="L6" i="18" s="1"/>
  <c r="K25" i="18"/>
  <c r="L25" i="18" s="1"/>
  <c r="K8" i="18"/>
  <c r="L8" i="18" s="1"/>
  <c r="K24" i="18"/>
  <c r="L24" i="18" s="1"/>
  <c r="K20" i="18"/>
  <c r="L20" i="18" s="1"/>
  <c r="K21" i="18"/>
  <c r="L21" i="18" s="1"/>
  <c r="K18" i="18"/>
  <c r="L18" i="18" s="1"/>
  <c r="K22" i="18"/>
  <c r="L22" i="18" s="1"/>
  <c r="K26" i="18"/>
  <c r="L26" i="18" s="1"/>
  <c r="K19" i="18"/>
  <c r="L19" i="18" s="1"/>
  <c r="K23" i="18"/>
  <c r="L23" i="18" s="1"/>
  <c r="K7" i="18"/>
  <c r="L7" i="18" s="1"/>
  <c r="K10" i="18"/>
  <c r="L10" i="18" s="1"/>
  <c r="K14" i="18"/>
  <c r="L14" i="18" s="1"/>
  <c r="K5" i="18"/>
  <c r="L5" i="18" s="1"/>
  <c r="A9" i="17"/>
  <c r="A10" i="17" s="1"/>
  <c r="A11" i="17" s="1"/>
  <c r="A12" i="17" s="1"/>
  <c r="A13" i="17" s="1"/>
  <c r="A16" i="17" s="1"/>
  <c r="A17" i="17" s="1"/>
  <c r="A18" i="17" s="1"/>
  <c r="A19" i="17" s="1"/>
  <c r="A20" i="17" l="1"/>
  <c r="A23" i="17" s="1"/>
  <c r="A24" i="17" s="1"/>
  <c r="A25" i="17" s="1"/>
  <c r="A28" i="17" l="1"/>
  <c r="K116" i="16"/>
  <c r="L116" i="16" s="1"/>
  <c r="K41" i="16"/>
  <c r="K40" i="16"/>
  <c r="L40" i="16" s="1"/>
  <c r="K39" i="16"/>
  <c r="L39" i="16" s="1"/>
  <c r="K37" i="16"/>
  <c r="K36" i="16"/>
  <c r="L36" i="16" s="1"/>
  <c r="K35" i="16"/>
  <c r="L35" i="16" s="1"/>
  <c r="K33" i="16"/>
  <c r="K32" i="16"/>
  <c r="L32" i="16" s="1"/>
  <c r="K31" i="16"/>
  <c r="L31" i="16" s="1"/>
  <c r="K29" i="16"/>
  <c r="K28" i="16"/>
  <c r="L28" i="16" s="1"/>
  <c r="K27" i="16"/>
  <c r="L27" i="16" s="1"/>
  <c r="A11" i="16"/>
  <c r="A12" i="16" s="1"/>
  <c r="A15" i="16" s="1"/>
  <c r="A16" i="16" s="1"/>
  <c r="A17" i="16" s="1"/>
  <c r="A18" i="16" s="1"/>
  <c r="A19" i="16" s="1"/>
  <c r="A20" i="16" s="1"/>
  <c r="A21" i="16" s="1"/>
  <c r="A22" i="16" s="1"/>
  <c r="A26" i="16" s="1"/>
  <c r="A27" i="16" s="1"/>
  <c r="A28" i="16" s="1"/>
  <c r="A29" i="16" s="1"/>
  <c r="A30" i="16" s="1"/>
  <c r="A31" i="16" s="1"/>
  <c r="A32" i="16" s="1"/>
  <c r="A33" i="16" s="1"/>
  <c r="A34" i="16" s="1"/>
  <c r="A35" i="16" s="1"/>
  <c r="A36" i="16" s="1"/>
  <c r="A37" i="16" s="1"/>
  <c r="A38" i="16" s="1"/>
  <c r="A39" i="16" s="1"/>
  <c r="A40" i="16" s="1"/>
  <c r="A41" i="16" s="1"/>
  <c r="A45" i="16" s="1"/>
  <c r="A51" i="16" s="1"/>
  <c r="A52" i="16" s="1"/>
  <c r="A55" i="16" s="1"/>
  <c r="A56" i="16" s="1"/>
  <c r="A32" i="17" l="1"/>
  <c r="A33" i="17" s="1"/>
  <c r="A34" i="17" s="1"/>
  <c r="A35" i="17" s="1"/>
  <c r="A38" i="17" s="1"/>
  <c r="A39" i="17" s="1"/>
  <c r="A40" i="17" s="1"/>
  <c r="A41" i="17" s="1"/>
  <c r="A42" i="17" s="1"/>
  <c r="A43" i="17" s="1"/>
  <c r="A44" i="17" s="1"/>
  <c r="A45" i="17" s="1"/>
  <c r="A48" i="17" s="1"/>
  <c r="A49" i="17" s="1"/>
  <c r="A50" i="17" s="1"/>
  <c r="A51" i="17" s="1"/>
  <c r="A52" i="17" s="1"/>
  <c r="A53" i="17" s="1"/>
  <c r="A57" i="17" s="1"/>
  <c r="A58" i="17" s="1"/>
  <c r="A61" i="17" s="1"/>
  <c r="A62" i="17" s="1"/>
  <c r="A65" i="17" s="1"/>
  <c r="A66" i="17" s="1"/>
  <c r="A67" i="17" s="1"/>
  <c r="A68" i="17" s="1"/>
  <c r="A69" i="17" s="1"/>
  <c r="A29" i="17"/>
  <c r="A59" i="16"/>
  <c r="K105" i="16"/>
  <c r="L105" i="16" s="1"/>
  <c r="K12" i="16"/>
  <c r="L12" i="16" s="1"/>
  <c r="K80" i="16"/>
  <c r="L80" i="16" s="1"/>
  <c r="K99" i="16"/>
  <c r="L99" i="16" s="1"/>
  <c r="K89" i="16"/>
  <c r="L89" i="16" s="1"/>
  <c r="K16" i="16"/>
  <c r="L16" i="16" s="1"/>
  <c r="K103" i="16"/>
  <c r="L103" i="16" s="1"/>
  <c r="K84" i="16"/>
  <c r="L84" i="16" s="1"/>
  <c r="K90" i="16"/>
  <c r="L90" i="16" s="1"/>
  <c r="K17" i="16"/>
  <c r="L17" i="16" s="1"/>
  <c r="K113" i="16"/>
  <c r="L113" i="16" s="1"/>
  <c r="K51" i="16"/>
  <c r="L51" i="16" s="1"/>
  <c r="K52" i="16"/>
  <c r="L52" i="16" s="1"/>
  <c r="K98" i="16"/>
  <c r="L98" i="16" s="1"/>
  <c r="K71" i="16"/>
  <c r="L71" i="16" s="1"/>
  <c r="K11" i="16"/>
  <c r="L11" i="16" s="1"/>
  <c r="K56" i="16"/>
  <c r="L56" i="16" s="1"/>
  <c r="K21" i="16"/>
  <c r="L21" i="16" s="1"/>
  <c r="K95" i="16"/>
  <c r="L95" i="16" s="1"/>
  <c r="K100" i="16"/>
  <c r="L100" i="16" s="1"/>
  <c r="K10" i="16"/>
  <c r="L10" i="16" s="1"/>
  <c r="K15" i="16"/>
  <c r="L15" i="16" s="1"/>
  <c r="K18" i="16"/>
  <c r="L18" i="16" s="1"/>
  <c r="L29" i="16"/>
  <c r="K81" i="16"/>
  <c r="L81" i="16" s="1"/>
  <c r="K85" i="16"/>
  <c r="L85" i="16" s="1"/>
  <c r="K108" i="16"/>
  <c r="L108" i="16" s="1"/>
  <c r="K22" i="16"/>
  <c r="L22" i="16" s="1"/>
  <c r="K88" i="16"/>
  <c r="L88" i="16" s="1"/>
  <c r="K112" i="16"/>
  <c r="L112" i="16" s="1"/>
  <c r="K20" i="16"/>
  <c r="L20" i="16" s="1"/>
  <c r="K67" i="16"/>
  <c r="L67" i="16" s="1"/>
  <c r="K72" i="16"/>
  <c r="L72" i="16" s="1"/>
  <c r="K83" i="16"/>
  <c r="L83" i="16" s="1"/>
  <c r="K104" i="16"/>
  <c r="L104" i="16" s="1"/>
  <c r="L41" i="16"/>
  <c r="K94" i="16"/>
  <c r="L94" i="16" s="1"/>
  <c r="K93" i="16"/>
  <c r="L93" i="16" s="1"/>
  <c r="K68" i="16"/>
  <c r="L68" i="16" s="1"/>
  <c r="L37" i="16"/>
  <c r="L33" i="16"/>
  <c r="K26" i="16"/>
  <c r="L26" i="16" s="1"/>
  <c r="K30" i="16"/>
  <c r="L30" i="16" s="1"/>
  <c r="K34" i="16"/>
  <c r="L34" i="16" s="1"/>
  <c r="K38" i="16"/>
  <c r="L38" i="16" s="1"/>
  <c r="K45" i="16"/>
  <c r="L45" i="16" s="1"/>
  <c r="K19" i="16"/>
  <c r="L19" i="16" s="1"/>
  <c r="K55" i="16"/>
  <c r="L55" i="16" s="1"/>
  <c r="K82" i="16"/>
  <c r="L82" i="16" s="1"/>
  <c r="A9" i="15"/>
  <c r="A10" i="15" s="1"/>
  <c r="A11" i="15" s="1"/>
  <c r="A12" i="15" s="1"/>
  <c r="A13" i="15" s="1"/>
  <c r="A14" i="15" s="1"/>
  <c r="A15" i="15" s="1"/>
  <c r="A16" i="15" s="1"/>
  <c r="A26" i="15" l="1"/>
  <c r="A27" i="15" s="1"/>
  <c r="A30" i="15" s="1"/>
  <c r="A31" i="15" s="1"/>
  <c r="A32" i="15" s="1"/>
  <c r="A35" i="15" s="1"/>
  <c r="A36" i="15" s="1"/>
  <c r="A37" i="15" s="1"/>
  <c r="A60" i="16"/>
  <c r="A61" i="16" s="1"/>
  <c r="A67" i="16" s="1"/>
  <c r="A68" i="16" s="1"/>
  <c r="A71" i="16" s="1"/>
  <c r="A70" i="17"/>
  <c r="A73" i="17" s="1"/>
  <c r="A74" i="17" s="1"/>
  <c r="A75" i="17" s="1"/>
  <c r="A76" i="17" s="1"/>
  <c r="A79" i="17" s="1"/>
  <c r="A80" i="17" s="1"/>
  <c r="A81" i="17" s="1"/>
  <c r="A8" i="14"/>
  <c r="A9" i="14" s="1"/>
  <c r="A12" i="14" l="1"/>
  <c r="A13" i="14" s="1"/>
  <c r="A14" i="14" s="1"/>
  <c r="A16" i="14" s="1"/>
  <c r="A19" i="14" s="1"/>
  <c r="A22" i="14" s="1"/>
  <c r="A23" i="14" s="1"/>
  <c r="A24" i="14" s="1"/>
  <c r="A27" i="14" s="1"/>
  <c r="A28" i="14" s="1"/>
  <c r="A29" i="14" s="1"/>
  <c r="A30" i="14" s="1"/>
  <c r="A31" i="14" s="1"/>
  <c r="A32" i="14" s="1"/>
  <c r="A35" i="14" s="1"/>
  <c r="A36" i="14" s="1"/>
  <c r="A45" i="14" s="1"/>
  <c r="A46" i="14" s="1"/>
  <c r="A49" i="14" s="1"/>
  <c r="A50" i="14" s="1"/>
  <c r="A39" i="15"/>
  <c r="A40" i="15" s="1"/>
  <c r="A41" i="15" s="1"/>
  <c r="A44" i="15" s="1"/>
  <c r="A45" i="15" s="1"/>
  <c r="A46" i="15" s="1"/>
  <c r="A47" i="15" s="1"/>
  <c r="A50" i="15" s="1"/>
  <c r="A51" i="15" s="1"/>
  <c r="A52" i="15" s="1"/>
  <c r="A55" i="15" s="1"/>
  <c r="A56" i="15" s="1"/>
  <c r="A57" i="15" s="1"/>
  <c r="A60" i="15" s="1"/>
  <c r="A61" i="15" s="1"/>
  <c r="A62" i="15" s="1"/>
  <c r="A63" i="15" s="1"/>
  <c r="A66" i="15" s="1"/>
  <c r="A67" i="15" s="1"/>
  <c r="A70" i="15" s="1"/>
  <c r="A71" i="15" s="1"/>
  <c r="A72" i="15" s="1"/>
  <c r="A75" i="15" s="1"/>
  <c r="A72" i="16"/>
  <c r="A75" i="16" s="1"/>
  <c r="A76" i="16"/>
  <c r="A77" i="16" s="1"/>
  <c r="A80" i="16" s="1"/>
  <c r="A82" i="17"/>
  <c r="A83" i="17" s="1"/>
  <c r="A84" i="17" s="1"/>
  <c r="A87" i="17" s="1"/>
  <c r="A88" i="17" s="1"/>
  <c r="K16" i="14"/>
  <c r="L16" i="14" s="1"/>
  <c r="K45" i="14"/>
  <c r="L45" i="14" s="1"/>
  <c r="K91" i="14"/>
  <c r="L91" i="14" s="1"/>
  <c r="K93" i="14"/>
  <c r="L93" i="14" s="1"/>
  <c r="K63" i="14"/>
  <c r="L63" i="14" s="1"/>
  <c r="K7" i="14"/>
  <c r="L7" i="14" s="1"/>
  <c r="K64" i="14"/>
  <c r="L64" i="14" s="1"/>
  <c r="K88" i="14"/>
  <c r="L88" i="14" s="1"/>
  <c r="K54" i="14"/>
  <c r="L54" i="14" s="1"/>
  <c r="K85" i="14"/>
  <c r="L85" i="14" s="1"/>
  <c r="K28" i="14"/>
  <c r="L28" i="14" s="1"/>
  <c r="K58" i="14"/>
  <c r="L58" i="14" s="1"/>
  <c r="K73" i="14"/>
  <c r="L73" i="14" s="1"/>
  <c r="K24" i="14"/>
  <c r="L24" i="14" s="1"/>
  <c r="K36" i="14"/>
  <c r="L36" i="14" s="1"/>
  <c r="K62" i="14"/>
  <c r="L62" i="14" s="1"/>
  <c r="K71" i="14"/>
  <c r="L71" i="14" s="1"/>
  <c r="K74" i="14"/>
  <c r="L74" i="14" s="1"/>
  <c r="K81" i="14"/>
  <c r="L81" i="14" s="1"/>
  <c r="K90" i="14"/>
  <c r="L90" i="14" s="1"/>
  <c r="K29" i="14"/>
  <c r="L29" i="14" s="1"/>
  <c r="K46" i="14"/>
  <c r="L46" i="14" s="1"/>
  <c r="K57" i="14"/>
  <c r="L57" i="14" s="1"/>
  <c r="K9" i="14"/>
  <c r="L9" i="14" s="1"/>
  <c r="K23" i="14"/>
  <c r="L23" i="14" s="1"/>
  <c r="K35" i="14"/>
  <c r="L35" i="14" s="1"/>
  <c r="K92" i="14"/>
  <c r="L92" i="14" s="1"/>
  <c r="K32" i="14"/>
  <c r="L32" i="14" s="1"/>
  <c r="K65" i="14"/>
  <c r="L65" i="14" s="1"/>
  <c r="K8" i="14"/>
  <c r="L8" i="14" s="1"/>
  <c r="K68" i="14"/>
  <c r="L68" i="14" s="1"/>
  <c r="K22" i="14"/>
  <c r="L22" i="14" s="1"/>
  <c r="K14" i="14"/>
  <c r="L14" i="14" s="1"/>
  <c r="K56" i="14"/>
  <c r="L56" i="14" s="1"/>
  <c r="K70" i="14"/>
  <c r="L70" i="14" s="1"/>
  <c r="K44" i="14"/>
  <c r="L44" i="14" s="1"/>
  <c r="K55" i="14"/>
  <c r="L55" i="14" s="1"/>
  <c r="K77" i="14"/>
  <c r="L77" i="14" s="1"/>
  <c r="K84" i="14"/>
  <c r="L84" i="14" s="1"/>
  <c r="K78" i="14"/>
  <c r="L78" i="14" s="1"/>
  <c r="K13" i="14"/>
  <c r="L13" i="14" s="1"/>
  <c r="K30" i="14"/>
  <c r="L30" i="14" s="1"/>
  <c r="K49" i="14"/>
  <c r="L49" i="14" s="1"/>
  <c r="K69" i="14"/>
  <c r="L69" i="14" s="1"/>
  <c r="K27" i="14"/>
  <c r="L27" i="14" s="1"/>
  <c r="K31" i="14"/>
  <c r="L31" i="14" s="1"/>
  <c r="K50" i="14"/>
  <c r="L50" i="14" s="1"/>
  <c r="K59" i="14"/>
  <c r="L59" i="14" s="1"/>
  <c r="K12" i="14"/>
  <c r="L12" i="14" s="1"/>
  <c r="K89" i="14"/>
  <c r="L89" i="14" s="1"/>
  <c r="A54" i="14" l="1"/>
  <c r="A55" i="14" s="1"/>
  <c r="A56" i="14" s="1"/>
  <c r="A57" i="14" s="1"/>
  <c r="A58" i="14" s="1"/>
  <c r="A59" i="14" s="1"/>
  <c r="A91" i="17"/>
  <c r="A92" i="17" s="1"/>
  <c r="A93" i="17" s="1"/>
  <c r="A94" i="17" s="1"/>
  <c r="A95" i="17" s="1"/>
  <c r="A96" i="17" s="1"/>
  <c r="A81" i="16"/>
  <c r="A82" i="16" s="1"/>
  <c r="A83" i="16" s="1"/>
  <c r="A84" i="16" s="1"/>
  <c r="A85" i="16" s="1"/>
  <c r="A88" i="16" s="1"/>
  <c r="A89" i="16" s="1"/>
  <c r="A90" i="16" s="1"/>
  <c r="A93" i="16" s="1"/>
  <c r="A94" i="16" s="1"/>
  <c r="A95" i="16" s="1"/>
  <c r="A98" i="16" s="1"/>
  <c r="A99" i="16" s="1"/>
  <c r="A100" i="16" s="1"/>
  <c r="A103" i="16" s="1"/>
  <c r="A104" i="16" s="1"/>
  <c r="A105" i="16" s="1"/>
  <c r="A108" i="16" s="1"/>
  <c r="A112" i="16" s="1"/>
  <c r="A113" i="16" s="1"/>
  <c r="A114" i="16" s="1"/>
  <c r="A115" i="16" s="1"/>
  <c r="A116" i="16" s="1"/>
  <c r="A119" i="16" s="1"/>
  <c r="A120" i="16" s="1"/>
  <c r="A121" i="16" s="1"/>
  <c r="A122" i="16" s="1"/>
  <c r="K8" i="13"/>
  <c r="L8" i="13" s="1"/>
  <c r="K5" i="13"/>
  <c r="L5" i="13" s="1"/>
  <c r="K7" i="13"/>
  <c r="L7" i="13" s="1"/>
  <c r="K10" i="13"/>
  <c r="L10" i="13" s="1"/>
  <c r="K6" i="13"/>
  <c r="L6" i="13" s="1"/>
  <c r="A62" i="14" l="1"/>
  <c r="A63" i="14" s="1"/>
  <c r="A64" i="14" s="1"/>
  <c r="A65" i="14" s="1"/>
  <c r="A68" i="14" s="1"/>
  <c r="A98" i="17"/>
  <c r="A101" i="17" s="1"/>
  <c r="A102" i="17" s="1"/>
  <c r="A103" i="17" s="1"/>
  <c r="A104" i="17" s="1"/>
  <c r="A105" i="17" s="1"/>
  <c r="A106" i="17" s="1"/>
  <c r="A107" i="17" s="1"/>
  <c r="A108" i="17" s="1"/>
  <c r="A109" i="17" s="1"/>
  <c r="A110" i="17" s="1"/>
  <c r="A111" i="17" s="1"/>
  <c r="A112" i="17" s="1"/>
  <c r="A113" i="17" s="1"/>
  <c r="A114" i="17" s="1"/>
  <c r="A115" i="17" s="1"/>
  <c r="A120" i="17" s="1"/>
  <c r="K4" i="13"/>
  <c r="L4" i="13" s="1"/>
  <c r="K9" i="13"/>
  <c r="L9" i="13" s="1"/>
  <c r="K14" i="11"/>
  <c r="L14" i="11" s="1"/>
  <c r="A6" i="11"/>
  <c r="A69" i="14" l="1"/>
  <c r="A70" i="14" s="1"/>
  <c r="A71" i="14" s="1"/>
  <c r="A72" i="14" s="1"/>
  <c r="A7" i="11"/>
  <c r="A10" i="11" s="1"/>
  <c r="A11" i="11" s="1"/>
  <c r="A12" i="11" s="1"/>
  <c r="A13" i="11" s="1"/>
  <c r="A14" i="11" s="1"/>
  <c r="A16" i="11" s="1"/>
  <c r="A17" i="11" s="1"/>
  <c r="A19" i="11" s="1"/>
  <c r="A20" i="11" s="1"/>
  <c r="A22" i="11" s="1"/>
  <c r="A23" i="11" s="1"/>
  <c r="A24" i="11" s="1"/>
  <c r="A25" i="11" s="1"/>
  <c r="A27" i="11" s="1"/>
  <c r="A28" i="11" s="1"/>
  <c r="A30" i="11" s="1"/>
  <c r="A32" i="11" s="1"/>
  <c r="A34" i="11" s="1"/>
  <c r="A35" i="11" s="1"/>
  <c r="A37" i="11" s="1"/>
  <c r="A121" i="17"/>
  <c r="A122" i="17" s="1"/>
  <c r="A123" i="17" s="1"/>
  <c r="A124" i="17" s="1"/>
  <c r="A125" i="17" s="1"/>
  <c r="A126" i="17" s="1"/>
  <c r="A127" i="17" s="1"/>
  <c r="A128" i="17" s="1"/>
  <c r="A129" i="17" s="1"/>
  <c r="K20" i="11"/>
  <c r="L20" i="11" s="1"/>
  <c r="K13" i="11"/>
  <c r="L13" i="11" s="1"/>
  <c r="K11" i="11"/>
  <c r="L11" i="11" s="1"/>
  <c r="K25" i="11"/>
  <c r="L25" i="11" s="1"/>
  <c r="K17" i="11"/>
  <c r="L17" i="11" s="1"/>
  <c r="K5" i="11"/>
  <c r="L5" i="11" s="1"/>
  <c r="K6" i="11"/>
  <c r="L6" i="11" s="1"/>
  <c r="K22" i="11"/>
  <c r="L22" i="11" s="1"/>
  <c r="K27" i="11"/>
  <c r="L27" i="11" s="1"/>
  <c r="K16" i="11"/>
  <c r="L16" i="11" s="1"/>
  <c r="K10" i="11"/>
  <c r="L10" i="11" s="1"/>
  <c r="K12" i="11"/>
  <c r="L12" i="11" s="1"/>
  <c r="K19" i="11"/>
  <c r="L19" i="11" s="1"/>
  <c r="K24" i="11"/>
  <c r="L24" i="11" s="1"/>
  <c r="K18" i="11"/>
  <c r="L18" i="11" s="1"/>
  <c r="K28" i="11"/>
  <c r="L28" i="11" s="1"/>
  <c r="K23" i="11"/>
  <c r="L23" i="11" s="1"/>
  <c r="K32" i="11"/>
  <c r="L32" i="11" s="1"/>
  <c r="A10" i="10"/>
  <c r="A11" i="10" s="1"/>
  <c r="A14" i="10" s="1"/>
  <c r="A15" i="10" s="1"/>
  <c r="A16" i="10" s="1"/>
  <c r="A17" i="10" s="1"/>
  <c r="A18" i="10" s="1"/>
  <c r="A21" i="10" s="1"/>
  <c r="A22" i="10" s="1"/>
  <c r="A23" i="10" s="1"/>
  <c r="A24" i="10" s="1"/>
  <c r="A27" i="10" s="1"/>
  <c r="A28" i="10" s="1"/>
  <c r="A29" i="10" s="1"/>
  <c r="A30" i="10" s="1"/>
  <c r="A33" i="10" s="1"/>
  <c r="A34" i="10" s="1"/>
  <c r="A35" i="10" s="1"/>
  <c r="A36" i="10" s="1"/>
  <c r="A39" i="10" s="1"/>
  <c r="A40" i="10" s="1"/>
  <c r="A41" i="10" s="1"/>
  <c r="A42" i="10" s="1"/>
  <c r="A45" i="10" s="1"/>
  <c r="A46" i="10" s="1"/>
  <c r="A47" i="10" s="1"/>
  <c r="A48" i="10" s="1"/>
  <c r="A51" i="10" s="1"/>
  <c r="A52" i="10" s="1"/>
  <c r="A53" i="10" s="1"/>
  <c r="A54" i="10" s="1"/>
  <c r="A56" i="10" s="1"/>
  <c r="A57" i="10" s="1"/>
  <c r="A58" i="10" s="1"/>
  <c r="A59" i="10" s="1"/>
  <c r="A60" i="10" s="1"/>
  <c r="A62" i="10" s="1"/>
  <c r="A73" i="14" l="1"/>
  <c r="A74" i="14" s="1"/>
  <c r="A133" i="17"/>
  <c r="A134" i="17" s="1"/>
  <c r="A135" i="17" s="1"/>
  <c r="A138" i="17" s="1"/>
  <c r="A139" i="17" s="1"/>
  <c r="A140" i="17" s="1"/>
  <c r="A64" i="10"/>
  <c r="A65" i="10" s="1"/>
  <c r="A66" i="10" s="1"/>
  <c r="A67" i="10" s="1"/>
  <c r="A70" i="10" s="1"/>
  <c r="A71" i="10" s="1"/>
  <c r="A72" i="10" s="1"/>
  <c r="A73" i="10" s="1"/>
  <c r="A74" i="10" s="1"/>
  <c r="K300" i="9"/>
  <c r="L300" i="9" s="1"/>
  <c r="K299" i="9"/>
  <c r="L299" i="9" s="1"/>
  <c r="A6" i="9"/>
  <c r="A7" i="9" s="1"/>
  <c r="A8" i="9" s="1"/>
  <c r="A9" i="9" s="1"/>
  <c r="A10" i="9" s="1"/>
  <c r="A11" i="9" s="1"/>
  <c r="A12" i="9" s="1"/>
  <c r="A13" i="9" s="1"/>
  <c r="A14" i="9" s="1"/>
  <c r="A15" i="9" s="1"/>
  <c r="A16" i="9" s="1"/>
  <c r="A17" i="9" s="1"/>
  <c r="A18" i="9" s="1"/>
  <c r="A21" i="9" s="1"/>
  <c r="A25" i="9" s="1"/>
  <c r="A26" i="9" s="1"/>
  <c r="A27" i="9" s="1"/>
  <c r="A28" i="9" s="1"/>
  <c r="A29" i="9" s="1"/>
  <c r="A30" i="9" s="1"/>
  <c r="A31" i="9" s="1"/>
  <c r="A32" i="9" s="1"/>
  <c r="A33" i="9" s="1"/>
  <c r="A34" i="9" s="1"/>
  <c r="A35" i="9" s="1"/>
  <c r="A36" i="9" s="1"/>
  <c r="A37"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3" i="9" s="1"/>
  <c r="A114" i="9" s="1"/>
  <c r="A115" i="9" s="1"/>
  <c r="A116" i="9" s="1"/>
  <c r="A117" i="9" s="1"/>
  <c r="A120" i="9" s="1"/>
  <c r="A121" i="9" s="1"/>
  <c r="A122" i="9" s="1"/>
  <c r="A123" i="9" s="1"/>
  <c r="A124" i="9" s="1"/>
  <c r="A125" i="9" s="1"/>
  <c r="A126" i="9" s="1"/>
  <c r="A127" i="9" s="1"/>
  <c r="A128" i="9" s="1"/>
  <c r="A129" i="9" s="1"/>
  <c r="A130" i="9" s="1"/>
  <c r="A131" i="9" s="1"/>
  <c r="A132" i="9" s="1"/>
  <c r="A133" i="9" s="1"/>
  <c r="A134" i="9" s="1"/>
  <c r="A135" i="9" s="1"/>
  <c r="A136" i="9" s="1"/>
  <c r="A137" i="9" s="1"/>
  <c r="A140" i="9" s="1"/>
  <c r="A141" i="9" s="1"/>
  <c r="A144" i="9" s="1"/>
  <c r="A145" i="9" s="1"/>
  <c r="A146" i="9" s="1"/>
  <c r="A147" i="9" s="1"/>
  <c r="A150" i="9" s="1"/>
  <c r="A151" i="9" s="1"/>
  <c r="A152" i="9" s="1"/>
  <c r="A153" i="9" s="1"/>
  <c r="A154" i="9" s="1"/>
  <c r="A155" i="9" s="1"/>
  <c r="A156" i="9" s="1"/>
  <c r="A157" i="9" s="1"/>
  <c r="A158" i="9" s="1"/>
  <c r="A161" i="9" s="1"/>
  <c r="A162" i="9" s="1"/>
  <c r="A163" i="9" s="1"/>
  <c r="A166" i="9" s="1"/>
  <c r="A77" i="14" l="1"/>
  <c r="A78" i="14" s="1"/>
  <c r="A81" i="14" s="1"/>
  <c r="A84" i="14" s="1"/>
  <c r="A85" i="14" s="1"/>
  <c r="A167" i="9"/>
  <c r="A168" i="9" s="1"/>
  <c r="A169" i="9" s="1"/>
  <c r="A170" i="9" s="1"/>
  <c r="A171" i="9" s="1"/>
  <c r="A172" i="9" s="1"/>
  <c r="A173" i="9" s="1"/>
  <c r="A174" i="9" s="1"/>
  <c r="A175" i="9" s="1"/>
  <c r="A176" i="9" s="1"/>
  <c r="A179" i="9" s="1"/>
  <c r="A77" i="10"/>
  <c r="A78" i="10" s="1"/>
  <c r="A79" i="10" s="1"/>
  <c r="A80" i="10" s="1"/>
  <c r="A81" i="10" s="1"/>
  <c r="A82"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K281" i="9"/>
  <c r="L281" i="9" s="1"/>
  <c r="K288" i="9"/>
  <c r="L288" i="9" s="1"/>
  <c r="K329" i="9"/>
  <c r="L329" i="9" s="1"/>
  <c r="K344" i="9"/>
  <c r="L344" i="9" s="1"/>
  <c r="K113" i="9"/>
  <c r="L113" i="9" s="1"/>
  <c r="K87" i="9"/>
  <c r="L87" i="9" s="1"/>
  <c r="K229" i="9"/>
  <c r="L229" i="9" s="1"/>
  <c r="K369" i="9"/>
  <c r="L369" i="9" s="1"/>
  <c r="K380" i="9"/>
  <c r="L380" i="9" s="1"/>
  <c r="K62" i="9"/>
  <c r="L62" i="9" s="1"/>
  <c r="K76" i="9"/>
  <c r="L76" i="9" s="1"/>
  <c r="K80" i="9"/>
  <c r="L80" i="9" s="1"/>
  <c r="K88" i="9"/>
  <c r="L88" i="9" s="1"/>
  <c r="K92" i="9"/>
  <c r="L92" i="9" s="1"/>
  <c r="K104" i="9"/>
  <c r="L104" i="9" s="1"/>
  <c r="K108" i="9"/>
  <c r="L108" i="9" s="1"/>
  <c r="K120" i="9"/>
  <c r="L120" i="9" s="1"/>
  <c r="K376" i="9"/>
  <c r="L376" i="9" s="1"/>
  <c r="K95" i="9"/>
  <c r="L95" i="9" s="1"/>
  <c r="K223" i="9"/>
  <c r="L223" i="9" s="1"/>
  <c r="K71" i="9"/>
  <c r="L71" i="9" s="1"/>
  <c r="K216" i="9"/>
  <c r="L216" i="9" s="1"/>
  <c r="K21" i="9"/>
  <c r="L21" i="9" s="1"/>
  <c r="K32" i="9"/>
  <c r="L32" i="9" s="1"/>
  <c r="K59" i="9"/>
  <c r="L59" i="9" s="1"/>
  <c r="K67" i="9"/>
  <c r="L67" i="9" s="1"/>
  <c r="K85" i="9"/>
  <c r="L85" i="9" s="1"/>
  <c r="K89" i="9"/>
  <c r="L89" i="9" s="1"/>
  <c r="K97" i="9"/>
  <c r="L97" i="9" s="1"/>
  <c r="K101" i="9"/>
  <c r="L101" i="9" s="1"/>
  <c r="K115" i="9"/>
  <c r="L115" i="9" s="1"/>
  <c r="K121" i="9"/>
  <c r="L121" i="9" s="1"/>
  <c r="K125" i="9"/>
  <c r="L125" i="9" s="1"/>
  <c r="K133" i="9"/>
  <c r="L133" i="9" s="1"/>
  <c r="K137" i="9"/>
  <c r="L137" i="9" s="1"/>
  <c r="K155" i="9"/>
  <c r="L155" i="9" s="1"/>
  <c r="K161" i="9"/>
  <c r="L161" i="9" s="1"/>
  <c r="K157" i="9"/>
  <c r="L157" i="9" s="1"/>
  <c r="K110" i="9"/>
  <c r="L110" i="9" s="1"/>
  <c r="K131" i="9"/>
  <c r="L131" i="9" s="1"/>
  <c r="K141" i="9"/>
  <c r="L141" i="9" s="1"/>
  <c r="K153" i="9"/>
  <c r="L153" i="9" s="1"/>
  <c r="K359" i="9"/>
  <c r="L359" i="9" s="1"/>
  <c r="K362" i="9"/>
  <c r="L362" i="9" s="1"/>
  <c r="K368" i="9"/>
  <c r="L368" i="9" s="1"/>
  <c r="K102" i="9"/>
  <c r="L102" i="9" s="1"/>
  <c r="K107" i="9"/>
  <c r="L107" i="9" s="1"/>
  <c r="K211" i="9"/>
  <c r="L211" i="9" s="1"/>
  <c r="K78" i="9"/>
  <c r="L78" i="9" s="1"/>
  <c r="K162" i="9"/>
  <c r="L162" i="9" s="1"/>
  <c r="K53" i="9"/>
  <c r="L53" i="9" s="1"/>
  <c r="L61" i="9"/>
  <c r="K79" i="9"/>
  <c r="L79" i="9" s="1"/>
  <c r="K122" i="9"/>
  <c r="L122" i="9" s="1"/>
  <c r="K130" i="9"/>
  <c r="L130" i="9" s="1"/>
  <c r="K201" i="9"/>
  <c r="L201" i="9" s="1"/>
  <c r="K346" i="9"/>
  <c r="L346" i="9" s="1"/>
  <c r="K123" i="9"/>
  <c r="L123" i="9" s="1"/>
  <c r="K197" i="9"/>
  <c r="L197" i="9" s="1"/>
  <c r="K371" i="9"/>
  <c r="L371" i="9" s="1"/>
  <c r="K37" i="9"/>
  <c r="L37" i="9" s="1"/>
  <c r="K47" i="9"/>
  <c r="L47" i="9" s="1"/>
  <c r="K128" i="9"/>
  <c r="L128" i="9" s="1"/>
  <c r="K255" i="9"/>
  <c r="L255" i="9" s="1"/>
  <c r="K243" i="9"/>
  <c r="L243" i="9" s="1"/>
  <c r="K25" i="9"/>
  <c r="L25" i="9" s="1"/>
  <c r="K33" i="9"/>
  <c r="L33" i="9" s="1"/>
  <c r="K167" i="9"/>
  <c r="L167" i="9" s="1"/>
  <c r="K316" i="9"/>
  <c r="L316" i="9" s="1"/>
  <c r="K26" i="9"/>
  <c r="L26" i="9" s="1"/>
  <c r="K34" i="9"/>
  <c r="L34" i="9" s="1"/>
  <c r="K41" i="9"/>
  <c r="L41" i="9" s="1"/>
  <c r="K96" i="9"/>
  <c r="L96" i="9" s="1"/>
  <c r="K136" i="9"/>
  <c r="L136" i="9" s="1"/>
  <c r="K150" i="9"/>
  <c r="L150" i="9" s="1"/>
  <c r="K209" i="9"/>
  <c r="L209" i="9" s="1"/>
  <c r="K221" i="9"/>
  <c r="L221" i="9" s="1"/>
  <c r="K228" i="9"/>
  <c r="L228" i="9" s="1"/>
  <c r="K232" i="9"/>
  <c r="L232" i="9" s="1"/>
  <c r="K377" i="9"/>
  <c r="L377" i="9" s="1"/>
  <c r="K86" i="9"/>
  <c r="L86" i="9" s="1"/>
  <c r="K202" i="9"/>
  <c r="L202" i="9" s="1"/>
  <c r="K35" i="9"/>
  <c r="L35" i="9" s="1"/>
  <c r="K42" i="9"/>
  <c r="L42" i="9" s="1"/>
  <c r="K46" i="9"/>
  <c r="L46" i="9" s="1"/>
  <c r="K50" i="9"/>
  <c r="L50" i="9" s="1"/>
  <c r="K54" i="9"/>
  <c r="L54" i="9" s="1"/>
  <c r="K58" i="9"/>
  <c r="L58" i="9" s="1"/>
  <c r="K83" i="9"/>
  <c r="L83" i="9" s="1"/>
  <c r="K151" i="9"/>
  <c r="L151" i="9" s="1"/>
  <c r="K174" i="9"/>
  <c r="L174" i="9" s="1"/>
  <c r="K318" i="9"/>
  <c r="L318" i="9" s="1"/>
  <c r="K94" i="9"/>
  <c r="L94" i="9" s="1"/>
  <c r="K127" i="9"/>
  <c r="L127" i="9" s="1"/>
  <c r="K175" i="9"/>
  <c r="L175" i="9" s="1"/>
  <c r="K198" i="9"/>
  <c r="L198" i="9" s="1"/>
  <c r="K269" i="9"/>
  <c r="L269" i="9" s="1"/>
  <c r="K366" i="9"/>
  <c r="L366" i="9" s="1"/>
  <c r="K140" i="9"/>
  <c r="L140" i="9" s="1"/>
  <c r="K152" i="9"/>
  <c r="L152" i="9" s="1"/>
  <c r="K325" i="9"/>
  <c r="L325" i="9" s="1"/>
  <c r="K355" i="9"/>
  <c r="L355" i="9" s="1"/>
  <c r="K367" i="9"/>
  <c r="L367" i="9" s="1"/>
  <c r="K29" i="9"/>
  <c r="L29" i="9" s="1"/>
  <c r="K48" i="9"/>
  <c r="L48" i="9" s="1"/>
  <c r="K52" i="9"/>
  <c r="L52" i="9" s="1"/>
  <c r="K60" i="9"/>
  <c r="L60" i="9" s="1"/>
  <c r="K81" i="9"/>
  <c r="L81" i="9" s="1"/>
  <c r="K103" i="9"/>
  <c r="L103" i="9" s="1"/>
  <c r="K168" i="9"/>
  <c r="L168" i="9" s="1"/>
  <c r="K257" i="9"/>
  <c r="L257" i="9" s="1"/>
  <c r="K84" i="9"/>
  <c r="L84" i="9" s="1"/>
  <c r="K56" i="9"/>
  <c r="L56" i="9" s="1"/>
  <c r="K99" i="9"/>
  <c r="L99" i="9" s="1"/>
  <c r="K171" i="9"/>
  <c r="L171" i="9" s="1"/>
  <c r="K210" i="9"/>
  <c r="L210" i="9" s="1"/>
  <c r="K244" i="9"/>
  <c r="L244" i="9" s="1"/>
  <c r="K259" i="9"/>
  <c r="L259" i="9" s="1"/>
  <c r="K276" i="9"/>
  <c r="L276" i="9" s="1"/>
  <c r="K283" i="9"/>
  <c r="L283" i="9" s="1"/>
  <c r="K289" i="9"/>
  <c r="L289" i="9" s="1"/>
  <c r="K348" i="9"/>
  <c r="L348" i="9" s="1"/>
  <c r="K93" i="9"/>
  <c r="L93" i="9" s="1"/>
  <c r="K105" i="9"/>
  <c r="L105" i="9" s="1"/>
  <c r="K91" i="9"/>
  <c r="L91" i="9" s="1"/>
  <c r="K166" i="9"/>
  <c r="L166" i="9" s="1"/>
  <c r="K172" i="9"/>
  <c r="L172" i="9" s="1"/>
  <c r="K195" i="9"/>
  <c r="L195" i="9" s="1"/>
  <c r="K205" i="9"/>
  <c r="L205" i="9" s="1"/>
  <c r="K247" i="9"/>
  <c r="L247" i="9" s="1"/>
  <c r="K277" i="9"/>
  <c r="L277" i="9" s="1"/>
  <c r="K284" i="9"/>
  <c r="L284" i="9" s="1"/>
  <c r="K293" i="9"/>
  <c r="L293" i="9" s="1"/>
  <c r="K338" i="9"/>
  <c r="L338" i="9" s="1"/>
  <c r="K30" i="9"/>
  <c r="L30" i="9" s="1"/>
  <c r="K27" i="9"/>
  <c r="L27" i="9" s="1"/>
  <c r="K31" i="9"/>
  <c r="L31" i="9" s="1"/>
  <c r="K44" i="9"/>
  <c r="L44" i="9" s="1"/>
  <c r="K64" i="9"/>
  <c r="L64" i="9" s="1"/>
  <c r="K70" i="9"/>
  <c r="L70" i="9" s="1"/>
  <c r="K73" i="9"/>
  <c r="L73" i="9" s="1"/>
  <c r="K77" i="9"/>
  <c r="L77" i="9" s="1"/>
  <c r="K100" i="9"/>
  <c r="L100" i="9" s="1"/>
  <c r="K109" i="9"/>
  <c r="L109" i="9" s="1"/>
  <c r="K117" i="9"/>
  <c r="L117" i="9" s="1"/>
  <c r="K129" i="9"/>
  <c r="L129" i="9" s="1"/>
  <c r="K135" i="9"/>
  <c r="L135" i="9" s="1"/>
  <c r="K158" i="9"/>
  <c r="L158" i="9" s="1"/>
  <c r="K185" i="9"/>
  <c r="L185" i="9" s="1"/>
  <c r="K200" i="9"/>
  <c r="L200" i="9" s="1"/>
  <c r="K224" i="9"/>
  <c r="L224" i="9" s="1"/>
  <c r="K256" i="9"/>
  <c r="L256" i="9" s="1"/>
  <c r="K370" i="9"/>
  <c r="L370" i="9" s="1"/>
  <c r="K379" i="9"/>
  <c r="L379" i="9" s="1"/>
  <c r="K49" i="9"/>
  <c r="L49" i="9" s="1"/>
  <c r="K66" i="9"/>
  <c r="L66" i="9" s="1"/>
  <c r="K40" i="9"/>
  <c r="L40" i="9" s="1"/>
  <c r="K57" i="9"/>
  <c r="L57" i="9" s="1"/>
  <c r="K45" i="9"/>
  <c r="L45" i="9" s="1"/>
  <c r="K51" i="9"/>
  <c r="L51" i="9" s="1"/>
  <c r="K173" i="9"/>
  <c r="L173" i="9" s="1"/>
  <c r="K176" i="9"/>
  <c r="L176" i="9" s="1"/>
  <c r="K196" i="9"/>
  <c r="L196" i="9" s="1"/>
  <c r="K206" i="9"/>
  <c r="L206" i="9" s="1"/>
  <c r="K249" i="9"/>
  <c r="L249" i="9" s="1"/>
  <c r="K280" i="9"/>
  <c r="L280" i="9" s="1"/>
  <c r="K287" i="9"/>
  <c r="L287" i="9" s="1"/>
  <c r="K331" i="9"/>
  <c r="L331" i="9" s="1"/>
  <c r="K339" i="9"/>
  <c r="L339" i="9" s="1"/>
  <c r="K43" i="9"/>
  <c r="L43" i="9" s="1"/>
  <c r="K374" i="9"/>
  <c r="L374" i="9" s="1"/>
  <c r="K28" i="9"/>
  <c r="L28" i="9" s="1"/>
  <c r="K170" i="9"/>
  <c r="L170" i="9" s="1"/>
  <c r="K220" i="9"/>
  <c r="L220" i="9" s="1"/>
  <c r="K225" i="9"/>
  <c r="L225" i="9" s="1"/>
  <c r="K334" i="9"/>
  <c r="L334" i="9" s="1"/>
  <c r="K360" i="9"/>
  <c r="L360" i="9" s="1"/>
  <c r="K194" i="9"/>
  <c r="L194" i="9" s="1"/>
  <c r="K231" i="9"/>
  <c r="L231" i="9" s="1"/>
  <c r="K326" i="9"/>
  <c r="L326" i="9" s="1"/>
  <c r="K213" i="9"/>
  <c r="L213" i="9" s="1"/>
  <c r="K82" i="9"/>
  <c r="L82" i="9" s="1"/>
  <c r="K90" i="9"/>
  <c r="L90" i="9" s="1"/>
  <c r="K98" i="9"/>
  <c r="L98" i="9" s="1"/>
  <c r="K106" i="9"/>
  <c r="L106" i="9" s="1"/>
  <c r="K114" i="9"/>
  <c r="L114" i="9" s="1"/>
  <c r="K169" i="9"/>
  <c r="L169" i="9" s="1"/>
  <c r="K75" i="9"/>
  <c r="L75" i="9" s="1"/>
  <c r="K258" i="9"/>
  <c r="L258" i="9" s="1"/>
  <c r="K154" i="9"/>
  <c r="L154" i="9" s="1"/>
  <c r="K132" i="9"/>
  <c r="L132" i="9" s="1"/>
  <c r="K55" i="9"/>
  <c r="L55" i="9" s="1"/>
  <c r="K63" i="9"/>
  <c r="L63" i="9" s="1"/>
  <c r="K193" i="9"/>
  <c r="L193" i="9" s="1"/>
  <c r="K238" i="9"/>
  <c r="L238" i="9" s="1"/>
  <c r="K272" i="9"/>
  <c r="L272" i="9" s="1"/>
  <c r="K317" i="9"/>
  <c r="L317" i="9" s="1"/>
  <c r="K375" i="9"/>
  <c r="L375" i="9" s="1"/>
  <c r="K72" i="9"/>
  <c r="L72" i="9" s="1"/>
  <c r="K74" i="9"/>
  <c r="L74" i="9" s="1"/>
  <c r="K124" i="9"/>
  <c r="L124" i="9" s="1"/>
  <c r="K352" i="9"/>
  <c r="L352" i="9" s="1"/>
  <c r="K230" i="9"/>
  <c r="L230" i="9" s="1"/>
  <c r="K65" i="9"/>
  <c r="L65" i="9" s="1"/>
  <c r="K251" i="9"/>
  <c r="L251" i="9" s="1"/>
  <c r="K212" i="9"/>
  <c r="L212" i="9" s="1"/>
  <c r="K345" i="9"/>
  <c r="L345" i="9" s="1"/>
  <c r="K361" i="9"/>
  <c r="K365" i="9"/>
  <c r="L365" i="9" s="1"/>
  <c r="K116" i="9"/>
  <c r="L116" i="9" s="1"/>
  <c r="K126" i="9"/>
  <c r="L126" i="9" s="1"/>
  <c r="K134" i="9"/>
  <c r="L134" i="9" s="1"/>
  <c r="K156" i="9"/>
  <c r="L156" i="9" s="1"/>
  <c r="K330" i="9"/>
  <c r="L330" i="9" s="1"/>
  <c r="K335" i="9"/>
  <c r="L335" i="9" s="1"/>
  <c r="K347" i="9"/>
  <c r="L347" i="9" s="1"/>
  <c r="A88" i="14" l="1"/>
  <c r="A89" i="14" s="1"/>
  <c r="A90" i="14" s="1"/>
  <c r="A91" i="14" s="1"/>
  <c r="A92" i="14" s="1"/>
  <c r="A93" i="14" s="1"/>
  <c r="A185" i="9"/>
  <c r="A188" i="9" s="1"/>
  <c r="A193" i="9" s="1"/>
  <c r="A194" i="9" s="1"/>
  <c r="A195" i="9" s="1"/>
  <c r="A196" i="9" s="1"/>
  <c r="A197" i="9" s="1"/>
  <c r="A198" i="9" s="1"/>
  <c r="A199" i="9" s="1"/>
  <c r="A200" i="9" s="1"/>
  <c r="A201" i="9" s="1"/>
  <c r="A202" i="9" s="1"/>
  <c r="A205" i="9" s="1"/>
  <c r="A206" i="9" s="1"/>
  <c r="A209" i="9" s="1"/>
  <c r="A210" i="9" s="1"/>
  <c r="A211" i="9" s="1"/>
  <c r="A212" i="9" s="1"/>
  <c r="A213" i="9" s="1"/>
  <c r="A216" i="9" s="1"/>
  <c r="A217" i="9" s="1"/>
  <c r="A109" i="10"/>
  <c r="A110" i="10" s="1"/>
  <c r="A113" i="10" s="1"/>
  <c r="A114" i="10" s="1"/>
  <c r="A117" i="10" s="1"/>
  <c r="A118" i="10" s="1"/>
  <c r="A121" i="10" s="1"/>
  <c r="A124" i="10" s="1"/>
  <c r="A125" i="10" s="1"/>
  <c r="A126" i="10" s="1"/>
  <c r="A127" i="10" s="1"/>
  <c r="A128" i="10" s="1"/>
  <c r="A129" i="10" s="1"/>
  <c r="J14" i="8"/>
  <c r="F14" i="8"/>
  <c r="J11" i="8"/>
  <c r="F11" i="8"/>
  <c r="J10" i="8"/>
  <c r="F10" i="8"/>
  <c r="J9" i="8"/>
  <c r="F9" i="8"/>
  <c r="J8" i="8"/>
  <c r="F8" i="8"/>
  <c r="J7" i="8"/>
  <c r="F7" i="8"/>
  <c r="A220" i="9" l="1"/>
  <c r="A221" i="9" s="1"/>
  <c r="A222" i="9" s="1"/>
  <c r="A223" i="9" s="1"/>
  <c r="A224" i="9" s="1"/>
  <c r="A225" i="9" s="1"/>
  <c r="A228" i="9" s="1"/>
  <c r="A229" i="9" s="1"/>
  <c r="A230" i="9" s="1"/>
  <c r="A231" i="9" s="1"/>
  <c r="A232" i="9" s="1"/>
  <c r="A233" i="9" s="1"/>
  <c r="A236" i="9" s="1"/>
  <c r="A237" i="9" s="1"/>
  <c r="A238" i="9" s="1"/>
  <c r="A239" i="9" s="1"/>
  <c r="A240" i="9" s="1"/>
  <c r="A243" i="9" s="1"/>
  <c r="A244" i="9" s="1"/>
  <c r="A245" i="9" s="1"/>
  <c r="A246" i="9" s="1"/>
  <c r="A247" i="9" s="1"/>
  <c r="A248" i="9" s="1"/>
  <c r="A249" i="9" s="1"/>
  <c r="A250" i="9" s="1"/>
  <c r="A132" i="10"/>
  <c r="A133" i="10" s="1"/>
  <c r="A136" i="10" s="1"/>
  <c r="A137" i="10" s="1"/>
  <c r="A138" i="10" s="1"/>
  <c r="A139" i="10" s="1"/>
  <c r="A140" i="10" s="1"/>
  <c r="A141" i="10" s="1"/>
  <c r="A142" i="10" s="1"/>
  <c r="K8" i="8"/>
  <c r="L8" i="8" s="1"/>
  <c r="K14" i="8"/>
  <c r="L14" i="8" s="1"/>
  <c r="K9" i="8"/>
  <c r="L9" i="8" s="1"/>
  <c r="K10" i="8"/>
  <c r="L10" i="8" s="1"/>
  <c r="K7" i="8"/>
  <c r="L7" i="8" s="1"/>
  <c r="K11" i="8"/>
  <c r="L11" i="8" s="1"/>
  <c r="A6" i="7"/>
  <c r="A7" i="7" s="1"/>
  <c r="A10" i="7" s="1"/>
  <c r="A11" i="7" s="1"/>
  <c r="A12" i="7" s="1"/>
  <c r="A143" i="10" l="1"/>
  <c r="A144" i="10" s="1"/>
  <c r="A145" i="10" s="1"/>
  <c r="A146" i="10" s="1"/>
  <c r="A147" i="10" s="1"/>
  <c r="A148" i="10" s="1"/>
  <c r="A149" i="10" s="1"/>
  <c r="A150" i="10" s="1"/>
  <c r="A151" i="10" s="1"/>
  <c r="A152" i="10" s="1"/>
  <c r="A153" i="10" s="1"/>
  <c r="A154" i="10" s="1"/>
  <c r="A155" i="10" s="1"/>
  <c r="A156" i="10" s="1"/>
  <c r="A157" i="10" s="1"/>
  <c r="A158" i="10" s="1"/>
  <c r="A159" i="10" s="1"/>
  <c r="A160" i="10" s="1"/>
  <c r="A161" i="10" s="1"/>
  <c r="A162" i="10" s="1"/>
  <c r="A251" i="9"/>
  <c r="A15" i="7"/>
  <c r="K29" i="7"/>
  <c r="L29" i="7" s="1"/>
  <c r="K43" i="7"/>
  <c r="L43" i="7" s="1"/>
  <c r="K10" i="7"/>
  <c r="L10" i="7" s="1"/>
  <c r="K15" i="7"/>
  <c r="L15" i="7" s="1"/>
  <c r="K21" i="7"/>
  <c r="L21" i="7" s="1"/>
  <c r="K27" i="7"/>
  <c r="L27" i="7" s="1"/>
  <c r="K33" i="7"/>
  <c r="L33" i="7" s="1"/>
  <c r="K6" i="7"/>
  <c r="L6" i="7" s="1"/>
  <c r="K18" i="7"/>
  <c r="L18" i="7" s="1"/>
  <c r="K32" i="7"/>
  <c r="L32" i="7" s="1"/>
  <c r="K24" i="7"/>
  <c r="L24" i="7" s="1"/>
  <c r="K11" i="7"/>
  <c r="L11" i="7" s="1"/>
  <c r="K46" i="7"/>
  <c r="L46" i="7" s="1"/>
  <c r="K17" i="7"/>
  <c r="L17" i="7" s="1"/>
  <c r="K37" i="7"/>
  <c r="L37" i="7" s="1"/>
  <c r="K12" i="7"/>
  <c r="L12" i="7" s="1"/>
  <c r="K7" i="7"/>
  <c r="L7" i="7" s="1"/>
  <c r="K23" i="7"/>
  <c r="L23" i="7" s="1"/>
  <c r="K40" i="7"/>
  <c r="L40" i="7" s="1"/>
  <c r="K22" i="7"/>
  <c r="L22" i="7" s="1"/>
  <c r="K34" i="7"/>
  <c r="L34" i="7" s="1"/>
  <c r="K44" i="7"/>
  <c r="L44" i="7" s="1"/>
  <c r="K45" i="7"/>
  <c r="L45" i="7" s="1"/>
  <c r="K5" i="7"/>
  <c r="L5" i="7" s="1"/>
  <c r="K28" i="7"/>
  <c r="L28" i="7" s="1"/>
  <c r="K16" i="7"/>
  <c r="L16" i="7" s="1"/>
  <c r="A16" i="7" l="1"/>
  <c r="A17" i="7" s="1"/>
  <c r="A18" i="7" s="1"/>
  <c r="A21" i="7" s="1"/>
  <c r="A22" i="7" s="1"/>
  <c r="A23" i="7" s="1"/>
  <c r="A24" i="7" s="1"/>
  <c r="A27" i="7" s="1"/>
  <c r="A28" i="7" s="1"/>
  <c r="A29" i="7" s="1"/>
  <c r="A32" i="7" s="1"/>
  <c r="A33" i="7" s="1"/>
  <c r="A34" i="7" s="1"/>
  <c r="A37" i="7" s="1"/>
  <c r="A38" i="7" s="1"/>
  <c r="A39" i="7" s="1"/>
  <c r="A40" i="7" s="1"/>
  <c r="A43" i="7" s="1"/>
  <c r="A44" i="7" s="1"/>
  <c r="A45" i="7" s="1"/>
  <c r="A46" i="7" s="1"/>
  <c r="A49" i="7" s="1"/>
  <c r="A252" i="9"/>
  <c r="A255" i="9" s="1"/>
  <c r="A256" i="9" s="1"/>
  <c r="A257" i="9" s="1"/>
  <c r="A258" i="9" s="1"/>
  <c r="A259" i="9" s="1"/>
  <c r="A262" i="9" s="1"/>
  <c r="A263" i="9" s="1"/>
  <c r="A268" i="9" s="1"/>
  <c r="A269" i="9" s="1"/>
  <c r="A270" i="9" s="1"/>
  <c r="A272" i="9" s="1"/>
  <c r="A178" i="10"/>
  <c r="A179" i="10" s="1"/>
  <c r="A180" i="10" s="1"/>
  <c r="A183" i="10" s="1"/>
  <c r="A184" i="10" s="1"/>
  <c r="A163" i="10"/>
  <c r="A164" i="10" s="1"/>
  <c r="A165" i="10" s="1"/>
  <c r="A4" i="4"/>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273" i="9" l="1"/>
  <c r="A276" i="9" s="1"/>
  <c r="A277" i="9" s="1"/>
  <c r="A280" i="9" s="1"/>
  <c r="A281" i="9" s="1"/>
  <c r="A282" i="9" s="1"/>
  <c r="A283" i="9" s="1"/>
  <c r="A284" i="9" s="1"/>
  <c r="A8" i="3"/>
  <c r="A11" i="3" s="1"/>
  <c r="A12" i="3" s="1"/>
  <c r="A15" i="3" s="1"/>
  <c r="A16" i="3" s="1"/>
  <c r="A17" i="3" s="1"/>
  <c r="A18" i="3" s="1"/>
  <c r="A19" i="3" s="1"/>
  <c r="A22" i="3" s="1"/>
  <c r="A23" i="3" s="1"/>
  <c r="A26" i="3" s="1"/>
  <c r="A27" i="3" s="1"/>
  <c r="A30" i="3" s="1"/>
  <c r="A31" i="3" s="1"/>
  <c r="A32" i="3" s="1"/>
  <c r="A33" i="3" s="1"/>
  <c r="A34" i="3" s="1"/>
  <c r="A37" i="3" s="1"/>
  <c r="A38" i="3" s="1"/>
  <c r="A41" i="3" s="1"/>
  <c r="A42" i="3" s="1"/>
  <c r="A45" i="3" s="1"/>
  <c r="A46" i="3" s="1"/>
  <c r="A49" i="3" s="1"/>
  <c r="A287" i="9" l="1"/>
  <c r="A288" i="9" s="1"/>
  <c r="A289" i="9" s="1"/>
  <c r="A294" i="9" s="1"/>
  <c r="A299" i="9" s="1"/>
  <c r="A52" i="3"/>
  <c r="A53" i="3" s="1"/>
  <c r="A54" i="3" s="1"/>
  <c r="A55" i="3" s="1"/>
  <c r="A56" i="3" s="1"/>
  <c r="A59" i="3" s="1"/>
  <c r="A60" i="3" s="1"/>
  <c r="A63" i="3" s="1"/>
  <c r="A64" i="3" s="1"/>
  <c r="A65" i="3" s="1"/>
  <c r="A68" i="3" s="1"/>
  <c r="A69" i="3" s="1"/>
  <c r="A70" i="3" s="1"/>
  <c r="K119" i="3"/>
  <c r="L119" i="3" s="1"/>
  <c r="K95" i="3"/>
  <c r="L95" i="3" s="1"/>
  <c r="K80" i="3"/>
  <c r="L80" i="3" s="1"/>
  <c r="K125" i="3"/>
  <c r="L125" i="3" s="1"/>
  <c r="K155" i="3"/>
  <c r="L155" i="3" s="1"/>
  <c r="K173" i="3"/>
  <c r="L173" i="3" s="1"/>
  <c r="K177" i="3"/>
  <c r="L177" i="3" s="1"/>
  <c r="K181" i="3"/>
  <c r="L181" i="3" s="1"/>
  <c r="K184" i="3"/>
  <c r="L184" i="3" s="1"/>
  <c r="K157" i="3"/>
  <c r="L157" i="3" s="1"/>
  <c r="K226" i="3"/>
  <c r="L226" i="3" s="1"/>
  <c r="K112" i="3"/>
  <c r="L112" i="3" s="1"/>
  <c r="K116" i="3"/>
  <c r="L116" i="3" s="1"/>
  <c r="K218" i="3"/>
  <c r="L218" i="3" s="1"/>
  <c r="K31" i="3"/>
  <c r="L31" i="3" s="1"/>
  <c r="K82" i="3"/>
  <c r="L82" i="3" s="1"/>
  <c r="K186" i="3"/>
  <c r="L186" i="3" s="1"/>
  <c r="K196" i="3"/>
  <c r="L196" i="3" s="1"/>
  <c r="K52" i="3"/>
  <c r="L52" i="3" s="1"/>
  <c r="K83" i="3"/>
  <c r="L83" i="3" s="1"/>
  <c r="K99" i="3"/>
  <c r="L99" i="3" s="1"/>
  <c r="K143" i="3"/>
  <c r="L143" i="3" s="1"/>
  <c r="K162" i="3"/>
  <c r="L162" i="3" s="1"/>
  <c r="K174" i="3"/>
  <c r="L174" i="3" s="1"/>
  <c r="K214" i="3"/>
  <c r="L214" i="3" s="1"/>
  <c r="K228" i="3"/>
  <c r="L228" i="3" s="1"/>
  <c r="K59" i="3"/>
  <c r="L59" i="3" s="1"/>
  <c r="K129" i="3"/>
  <c r="L129" i="3" s="1"/>
  <c r="K179" i="3"/>
  <c r="L179" i="3" s="1"/>
  <c r="K211" i="3"/>
  <c r="L211" i="3" s="1"/>
  <c r="K103" i="3"/>
  <c r="K199" i="3"/>
  <c r="L199" i="3" s="1"/>
  <c r="K208" i="3"/>
  <c r="L208" i="3" s="1"/>
  <c r="K167" i="3"/>
  <c r="L167" i="3" s="1"/>
  <c r="K16" i="3"/>
  <c r="L16" i="3" s="1"/>
  <c r="K117" i="3"/>
  <c r="L117" i="3" s="1"/>
  <c r="K37" i="3"/>
  <c r="L37" i="3" s="1"/>
  <c r="K102" i="3"/>
  <c r="L102" i="3" s="1"/>
  <c r="K130" i="3"/>
  <c r="L130" i="3" s="1"/>
  <c r="K168" i="3"/>
  <c r="L168" i="3" s="1"/>
  <c r="K192" i="3"/>
  <c r="L192" i="3" s="1"/>
  <c r="K204" i="3"/>
  <c r="L204" i="3" s="1"/>
  <c r="K207" i="3"/>
  <c r="L207" i="3" s="1"/>
  <c r="K17" i="3"/>
  <c r="L17" i="3" s="1"/>
  <c r="K114" i="3"/>
  <c r="L114" i="3" s="1"/>
  <c r="K118" i="3"/>
  <c r="L118" i="3" s="1"/>
  <c r="K147" i="3"/>
  <c r="L147" i="3" s="1"/>
  <c r="K158" i="3"/>
  <c r="L158" i="3" s="1"/>
  <c r="K178" i="3"/>
  <c r="L178" i="3" s="1"/>
  <c r="K200" i="3"/>
  <c r="L200" i="3" s="1"/>
  <c r="K215" i="3"/>
  <c r="L215" i="3" s="1"/>
  <c r="K111" i="3"/>
  <c r="L111" i="3" s="1"/>
  <c r="K128" i="3"/>
  <c r="L128" i="3" s="1"/>
  <c r="K161" i="3"/>
  <c r="L161" i="3" s="1"/>
  <c r="K41" i="3"/>
  <c r="L41" i="3" s="1"/>
  <c r="K69" i="3"/>
  <c r="L69" i="3" s="1"/>
  <c r="K77" i="3"/>
  <c r="L77" i="3" s="1"/>
  <c r="K115" i="3"/>
  <c r="L115" i="3" s="1"/>
  <c r="K216" i="3"/>
  <c r="L216" i="3" s="1"/>
  <c r="K221" i="3"/>
  <c r="L221" i="3" s="1"/>
  <c r="K7" i="3"/>
  <c r="L7" i="3" s="1"/>
  <c r="K54" i="3"/>
  <c r="L54" i="3" s="1"/>
  <c r="K84" i="3"/>
  <c r="L84" i="3" s="1"/>
  <c r="K156" i="3"/>
  <c r="L156" i="3" s="1"/>
  <c r="K185" i="3"/>
  <c r="L185" i="3" s="1"/>
  <c r="K198" i="3"/>
  <c r="L198" i="3" s="1"/>
  <c r="K60" i="3"/>
  <c r="L60" i="3" s="1"/>
  <c r="K74" i="3"/>
  <c r="L74" i="3" s="1"/>
  <c r="K180" i="3"/>
  <c r="L180" i="3" s="1"/>
  <c r="K110" i="3"/>
  <c r="L110" i="3" s="1"/>
  <c r="K139" i="3"/>
  <c r="L139" i="3" s="1"/>
  <c r="K151" i="3"/>
  <c r="L151" i="3" s="1"/>
  <c r="K140" i="3"/>
  <c r="L140" i="3" s="1"/>
  <c r="K191" i="3"/>
  <c r="L191" i="3" s="1"/>
  <c r="K205" i="3"/>
  <c r="L205" i="3" s="1"/>
  <c r="K68" i="3"/>
  <c r="L68" i="3" s="1"/>
  <c r="K93" i="3"/>
  <c r="L93" i="3" s="1"/>
  <c r="K164" i="3"/>
  <c r="L164" i="3" s="1"/>
  <c r="K169" i="3"/>
  <c r="L169" i="3" s="1"/>
  <c r="K81" i="3"/>
  <c r="L81" i="3" s="1"/>
  <c r="K98" i="3"/>
  <c r="L98" i="3" s="1"/>
  <c r="K76" i="3"/>
  <c r="L76" i="3" s="1"/>
  <c r="K11" i="3"/>
  <c r="L11" i="3" s="1"/>
  <c r="K30" i="3"/>
  <c r="L30" i="3" s="1"/>
  <c r="K42" i="3"/>
  <c r="L42" i="3" s="1"/>
  <c r="K85" i="3"/>
  <c r="L85" i="3" s="1"/>
  <c r="K133" i="3"/>
  <c r="L133" i="3" s="1"/>
  <c r="K138" i="3"/>
  <c r="L138" i="3" s="1"/>
  <c r="K154" i="3"/>
  <c r="L154" i="3" s="1"/>
  <c r="K187" i="3"/>
  <c r="L187" i="3" s="1"/>
  <c r="K15" i="3"/>
  <c r="L15" i="3" s="1"/>
  <c r="K46" i="3"/>
  <c r="L46" i="3" s="1"/>
  <c r="K19" i="3"/>
  <c r="L19" i="3" s="1"/>
  <c r="K92" i="3"/>
  <c r="L92" i="3" s="1"/>
  <c r="K27" i="3"/>
  <c r="L27" i="3" s="1"/>
  <c r="K106" i="3"/>
  <c r="L106" i="3" s="1"/>
  <c r="K232" i="3"/>
  <c r="L232" i="3" s="1"/>
  <c r="K78" i="3"/>
  <c r="L78" i="3" s="1"/>
  <c r="K79" i="3"/>
  <c r="L79" i="3" s="1"/>
  <c r="K101" i="3"/>
  <c r="L103" i="3" s="1"/>
  <c r="K209" i="3"/>
  <c r="L209" i="3" s="1"/>
  <c r="K227" i="3"/>
  <c r="L227" i="3" s="1"/>
  <c r="K75" i="3"/>
  <c r="L75" i="3" s="1"/>
  <c r="K123" i="3"/>
  <c r="L123" i="3" s="1"/>
  <c r="K176" i="3"/>
  <c r="L176" i="3" s="1"/>
  <c r="K8" i="3"/>
  <c r="L8" i="3" s="1"/>
  <c r="K109" i="3"/>
  <c r="L109" i="3" s="1"/>
  <c r="K148" i="3"/>
  <c r="L148" i="3" s="1"/>
  <c r="K206" i="3"/>
  <c r="L206" i="3" s="1"/>
  <c r="K23" i="3"/>
  <c r="L23" i="3" s="1"/>
  <c r="K70" i="3"/>
  <c r="L70" i="3" s="1"/>
  <c r="K105" i="3"/>
  <c r="L105" i="3" s="1"/>
  <c r="K136" i="3"/>
  <c r="L136" i="3" s="1"/>
  <c r="K149" i="3"/>
  <c r="L149" i="3" s="1"/>
  <c r="K163" i="3"/>
  <c r="L163" i="3" s="1"/>
  <c r="K33" i="3"/>
  <c r="L33" i="3" s="1"/>
  <c r="K56" i="3"/>
  <c r="L56" i="3" s="1"/>
  <c r="K88" i="3"/>
  <c r="L88" i="3" s="1"/>
  <c r="K150" i="3"/>
  <c r="L150" i="3" s="1"/>
  <c r="K71" i="3"/>
  <c r="L71" i="3" s="1"/>
  <c r="K86" i="3"/>
  <c r="L86" i="3" s="1"/>
  <c r="K55" i="3"/>
  <c r="L55" i="3" s="1"/>
  <c r="K22" i="3"/>
  <c r="L22" i="3" s="1"/>
  <c r="K32" i="3"/>
  <c r="L32" i="3" s="1"/>
  <c r="K53" i="3"/>
  <c r="L53" i="3" s="1"/>
  <c r="K18" i="3"/>
  <c r="L18" i="3" s="1"/>
  <c r="K45" i="3"/>
  <c r="L45" i="3" s="1"/>
  <c r="K87" i="3"/>
  <c r="L87" i="3" s="1"/>
  <c r="K145" i="3"/>
  <c r="L145" i="3" s="1"/>
  <c r="K108" i="3"/>
  <c r="L108" i="3" s="1"/>
  <c r="K126" i="3"/>
  <c r="L126" i="3" s="1"/>
  <c r="K134" i="3"/>
  <c r="L134" i="3" s="1"/>
  <c r="K172" i="3"/>
  <c r="L172" i="3" s="1"/>
  <c r="K212" i="3"/>
  <c r="L212" i="3" s="1"/>
  <c r="K222" i="3"/>
  <c r="L222" i="3" s="1"/>
  <c r="K233" i="3"/>
  <c r="L233" i="3" s="1"/>
  <c r="K194" i="3"/>
  <c r="L194" i="3" s="1"/>
  <c r="K124" i="3"/>
  <c r="L124" i="3" s="1"/>
  <c r="K202" i="3"/>
  <c r="L202" i="3" s="1"/>
  <c r="K127" i="3"/>
  <c r="L127" i="3" s="1"/>
  <c r="K144" i="3"/>
  <c r="L144" i="3" s="1"/>
  <c r="K182" i="3"/>
  <c r="L182" i="3" s="1"/>
  <c r="K213" i="3"/>
  <c r="L213" i="3" s="1"/>
  <c r="K224" i="3"/>
  <c r="L224" i="3" s="1"/>
  <c r="K183" i="3"/>
  <c r="L183" i="3" s="1"/>
  <c r="K135" i="3"/>
  <c r="L135" i="3" s="1"/>
  <c r="K137" i="3"/>
  <c r="L137" i="3" s="1"/>
  <c r="K146" i="3"/>
  <c r="L146" i="3" s="1"/>
  <c r="K195" i="3"/>
  <c r="L195" i="3" s="1"/>
  <c r="K234" i="3"/>
  <c r="L234" i="3" s="1"/>
  <c r="K220" i="3"/>
  <c r="L220" i="3" s="1"/>
  <c r="K12" i="3"/>
  <c r="L12" i="3" s="1"/>
  <c r="K26" i="3"/>
  <c r="L26" i="3" s="1"/>
  <c r="K49" i="3"/>
  <c r="L49" i="3" s="1"/>
  <c r="K65" i="3"/>
  <c r="L65" i="3" s="1"/>
  <c r="K94" i="3"/>
  <c r="L94" i="3" s="1"/>
  <c r="K107" i="3"/>
  <c r="L107" i="3" s="1"/>
  <c r="K175" i="3"/>
  <c r="L175" i="3" s="1"/>
  <c r="K113" i="3"/>
  <c r="L113" i="3" s="1"/>
  <c r="K193" i="3"/>
  <c r="L193" i="3" s="1"/>
  <c r="K201" i="3"/>
  <c r="L201" i="3" s="1"/>
  <c r="K219" i="3"/>
  <c r="L219" i="3" s="1"/>
  <c r="K225" i="3"/>
  <c r="L225" i="3" s="1"/>
  <c r="A71" i="3" l="1"/>
  <c r="A74" i="3" s="1"/>
  <c r="A75" i="3" s="1"/>
  <c r="A76" i="3" s="1"/>
  <c r="A77" i="3" s="1"/>
  <c r="A78" i="3" s="1"/>
  <c r="A79" i="3" s="1"/>
  <c r="A80" i="3" s="1"/>
  <c r="A81" i="3" s="1"/>
  <c r="A82" i="3" s="1"/>
  <c r="A83" i="3" s="1"/>
  <c r="A84" i="3" s="1"/>
  <c r="A85" i="3" s="1"/>
  <c r="A86" i="3" s="1"/>
  <c r="A87" i="3" s="1"/>
  <c r="A88" i="3" s="1"/>
  <c r="A92" i="3" s="1"/>
  <c r="A93" i="3" s="1"/>
  <c r="A94" i="3" s="1"/>
  <c r="A95" i="3" s="1"/>
  <c r="A50" i="7"/>
  <c r="A51" i="7" s="1"/>
  <c r="L101" i="3"/>
  <c r="I12" i="2"/>
  <c r="E12" i="2"/>
  <c r="I11" i="2"/>
  <c r="E11" i="2"/>
  <c r="I10" i="2"/>
  <c r="E10" i="2"/>
  <c r="I9" i="2"/>
  <c r="E9" i="2"/>
  <c r="I8" i="2"/>
  <c r="E8" i="2"/>
  <c r="I7" i="2"/>
  <c r="E7" i="2"/>
  <c r="I6" i="2"/>
  <c r="E6" i="2"/>
  <c r="A6" i="2"/>
  <c r="A7" i="2" s="1"/>
  <c r="A8" i="2" s="1"/>
  <c r="A9" i="2" s="1"/>
  <c r="A10" i="2" s="1"/>
  <c r="A11" i="2" s="1"/>
  <c r="A12" i="2" s="1"/>
  <c r="I5" i="2"/>
  <c r="E5" i="2"/>
  <c r="J9" i="2" l="1"/>
  <c r="K9" i="2" s="1"/>
  <c r="J11" i="2"/>
  <c r="K11" i="2" s="1"/>
  <c r="J10" i="2"/>
  <c r="K10" i="2" s="1"/>
  <c r="J8" i="2"/>
  <c r="K8" i="2" s="1"/>
  <c r="J12" i="2"/>
  <c r="K12" i="2" s="1"/>
  <c r="J6" i="2"/>
  <c r="K6" i="2" s="1"/>
  <c r="J7" i="2"/>
  <c r="K7" i="2" s="1"/>
  <c r="J5" i="2"/>
  <c r="K5" i="2" s="1"/>
  <c r="F5" i="1"/>
  <c r="A5" i="1"/>
  <c r="A6" i="1" s="1"/>
  <c r="A7" i="1" s="1"/>
  <c r="A8" i="1" s="1"/>
  <c r="A9" i="1" s="1"/>
  <c r="A10" i="1" s="1"/>
  <c r="A11" i="1" s="1"/>
  <c r="A12" i="1" s="1"/>
  <c r="A13" i="1" s="1"/>
  <c r="A14" i="1" s="1"/>
  <c r="J5" i="1"/>
  <c r="F7" i="1"/>
  <c r="K7" i="1" s="1"/>
  <c r="F8" i="1"/>
  <c r="K8" i="1" s="1"/>
  <c r="F9" i="1"/>
  <c r="F10" i="1"/>
  <c r="F11" i="1"/>
  <c r="F12" i="1"/>
  <c r="A98" i="3" l="1"/>
  <c r="A99" i="3" s="1"/>
  <c r="K9" i="1"/>
  <c r="L9" i="1" s="1"/>
  <c r="K12" i="1"/>
  <c r="L12" i="1" s="1"/>
  <c r="K10" i="1"/>
  <c r="L10" i="1" s="1"/>
  <c r="K5" i="1"/>
  <c r="L5" i="1" s="1"/>
  <c r="L7" i="1"/>
  <c r="K11" i="1"/>
  <c r="L11" i="1" s="1"/>
  <c r="L8" i="1"/>
  <c r="A101" i="3" l="1"/>
  <c r="A102" i="3" l="1"/>
  <c r="A103" i="3" s="1"/>
  <c r="A105" i="3" s="1"/>
  <c r="A106" i="3" s="1"/>
  <c r="A107" i="3" s="1"/>
  <c r="A108" i="3" s="1"/>
  <c r="A109" i="3" s="1"/>
  <c r="A110" i="3" s="1"/>
  <c r="A111" i="3" s="1"/>
  <c r="A112" i="3" s="1"/>
  <c r="A113" i="3" s="1"/>
  <c r="A114" i="3" s="1"/>
  <c r="A115" i="3" s="1"/>
  <c r="A116" i="3" s="1"/>
  <c r="A117" i="3" s="1"/>
  <c r="A118" i="3" s="1"/>
  <c r="A119" i="3" s="1"/>
  <c r="A123" i="3" s="1"/>
  <c r="A124" i="3" s="1"/>
  <c r="A125" i="3" s="1"/>
  <c r="A126" i="3" s="1"/>
  <c r="A127" i="3" s="1"/>
  <c r="A128" i="3" s="1"/>
  <c r="A129" i="3" s="1"/>
  <c r="A130" i="3" s="1"/>
  <c r="A133" i="3" s="1"/>
  <c r="A134" i="3" s="1"/>
  <c r="A135" i="3" s="1"/>
  <c r="A136" i="3" s="1"/>
  <c r="A137" i="3" s="1"/>
  <c r="A138" i="3" s="1"/>
  <c r="A139" i="3" s="1"/>
  <c r="A140" i="3" s="1"/>
  <c r="A143" i="3" s="1"/>
  <c r="A144" i="3" s="1"/>
  <c r="A145" i="3" s="1"/>
  <c r="A146" i="3" s="1"/>
  <c r="A147" i="3" s="1"/>
  <c r="A148" i="3" s="1"/>
  <c r="A149" i="3" s="1"/>
  <c r="A150" i="3" s="1"/>
  <c r="A151" i="3" s="1"/>
  <c r="A154" i="3" s="1"/>
  <c r="A155" i="3" s="1"/>
  <c r="A156" i="3" s="1"/>
  <c r="A157" i="3" s="1"/>
  <c r="A158" i="3" s="1"/>
  <c r="A161" i="3" s="1"/>
  <c r="A162" i="3" s="1"/>
  <c r="A163" i="3" s="1"/>
  <c r="A164" i="3" s="1"/>
  <c r="A167" i="3" s="1"/>
  <c r="A168" i="3" s="1"/>
  <c r="A169" i="3" s="1"/>
  <c r="A172" i="3" s="1"/>
  <c r="A173" i="3" s="1"/>
  <c r="A174" i="3" s="1"/>
  <c r="A175" i="3" s="1"/>
  <c r="A176" i="3" s="1"/>
  <c r="A177" i="3" s="1"/>
  <c r="A178" i="3" s="1"/>
  <c r="A179" i="3" s="1"/>
  <c r="A180" i="3" s="1"/>
  <c r="A181" i="3" s="1"/>
  <c r="A182" i="3" s="1"/>
  <c r="A183" i="3" s="1"/>
  <c r="A184" i="3" s="1"/>
  <c r="A185" i="3" s="1"/>
  <c r="A186" i="3" s="1"/>
  <c r="A187"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2" i="3" l="1"/>
  <c r="A233" i="3" s="1"/>
  <c r="A234" i="3" s="1"/>
  <c r="A300" i="9"/>
  <c r="A301" i="9" s="1"/>
  <c r="A302" i="9" s="1"/>
  <c r="A304" i="9" s="1"/>
  <c r="A305" i="9" s="1"/>
  <c r="A306" i="9" s="1"/>
  <c r="A307" i="9" s="1"/>
  <c r="A309" i="9" s="1"/>
  <c r="A310" i="9" s="1"/>
  <c r="A311" i="9" s="1"/>
  <c r="A312" i="9" s="1"/>
  <c r="A316" i="9" s="1"/>
  <c r="A317" i="9" s="1"/>
  <c r="A318" i="9" s="1"/>
  <c r="A320" i="9" l="1"/>
  <c r="A321" i="9" s="1"/>
  <c r="A322" i="9" s="1"/>
  <c r="A325" i="9" s="1"/>
  <c r="A326" i="9" s="1"/>
  <c r="A329" i="9" s="1"/>
  <c r="A330" i="9" s="1"/>
  <c r="A331" i="9" s="1"/>
  <c r="A334" i="9" s="1"/>
  <c r="A335" i="9" s="1"/>
  <c r="A338" i="9" s="1"/>
  <c r="A339" i="9" s="1"/>
  <c r="A340" i="9" s="1"/>
  <c r="A344" i="9" l="1"/>
  <c r="A345" i="9" s="1"/>
  <c r="A346" i="9" s="1"/>
  <c r="A347" i="9" s="1"/>
  <c r="A348" i="9" s="1"/>
  <c r="A351" i="9" l="1"/>
  <c r="A352" i="9" s="1"/>
  <c r="A355" i="9" s="1"/>
  <c r="A359" i="9" s="1"/>
  <c r="A360" i="9" s="1"/>
  <c r="A361" i="9" s="1"/>
  <c r="A362" i="9" l="1"/>
  <c r="A363" i="9" l="1"/>
  <c r="A364" i="9" s="1"/>
  <c r="A365" i="9" s="1"/>
  <c r="A366" i="9" s="1"/>
  <c r="A367" i="9" s="1"/>
  <c r="A368" i="9" s="1"/>
  <c r="A369" i="9" s="1"/>
  <c r="A370" i="9" s="1"/>
  <c r="A371" i="9" s="1"/>
  <c r="A374" i="9" s="1"/>
  <c r="A375" i="9" s="1"/>
  <c r="A376" i="9" s="1"/>
  <c r="A377" i="9" s="1"/>
  <c r="A379" i="9" s="1"/>
  <c r="A38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tc={A5B674FC-B9AA-48B9-8A13-42DECB14E690}</author>
  </authors>
  <commentList>
    <comment ref="A1" authorId="0" shapeId="0" xr:uid="{A5B674FC-B9AA-48B9-8A13-42DECB14E690}">
      <text>
        <t>[Threaded comment]
Your version of Excel allows you to read this threaded comment; however, any edits to it will get removed if the file is opened in a newer version of Excel. Learn more: https://go.microsoft.com/fwlink/?linkid=870924
Comment:
    All fees and charges should be agreed with @Cllr Lydia Hyde.  We have a pragmatic view on some increases but other charges need to fall to drive business.</t>
      </text>
    </comment>
  </commentList>
</comments>
</file>

<file path=xl/sharedStrings.xml><?xml version="1.0" encoding="utf-8"?>
<sst xmlns="http://schemas.openxmlformats.org/spreadsheetml/2006/main" count="3404" uniqueCount="1527">
  <si>
    <t>Blanket increase</t>
  </si>
  <si>
    <t>Description of Service</t>
  </si>
  <si>
    <t>Basis of Charge</t>
  </si>
  <si>
    <t>Net Charge 2024/25</t>
  </si>
  <si>
    <t>VAT   (20%)</t>
  </si>
  <si>
    <t>Gross 2024/25 Charge</t>
  </si>
  <si>
    <t>Indicative Net Charge 2025/26</t>
  </si>
  <si>
    <t>Indicative Gross 2025/26 Charge</t>
  </si>
  <si>
    <t>Indicative Increase Gross Charge</t>
  </si>
  <si>
    <t>£</t>
  </si>
  <si>
    <t>%</t>
  </si>
  <si>
    <t>Maximum charge to user per week for home care/daycare</t>
  </si>
  <si>
    <t>Discretionary</t>
  </si>
  <si>
    <t>Full Cost of Service</t>
  </si>
  <si>
    <t>Forecast average unit cost of all home care per hour</t>
  </si>
  <si>
    <t>Maximum charge per session (day) for day service</t>
  </si>
  <si>
    <t>Transport - Return Trip per day</t>
  </si>
  <si>
    <t>Transport - Multiple Trip per day</t>
  </si>
  <si>
    <t>Minimum client contrib for OP long stay res care per week</t>
  </si>
  <si>
    <t>Statutory</t>
  </si>
  <si>
    <t>Minimum charge for adult long stay res care per week 18-24</t>
  </si>
  <si>
    <t>Minimum charge for adult long stay res care per week 25-59</t>
  </si>
  <si>
    <t>Administration Fee for Deferred Payment Scheme</t>
  </si>
  <si>
    <t>Administration Fee for full cost home care recipients</t>
  </si>
  <si>
    <t>Cemeteries and Crematorium</t>
  </si>
  <si>
    <t>Burial fees</t>
  </si>
  <si>
    <t>Private Grave Space - Traditional Grave 50 years</t>
  </si>
  <si>
    <t>Exclusive Rights of Burial including Registration in traditional Grave - Resident</t>
  </si>
  <si>
    <t xml:space="preserve">Exclusive Rights of Burial including Registration in traditional Grave - Non Resident </t>
  </si>
  <si>
    <t xml:space="preserve">Private Grave Space- Lawn including 75 and 50 years grave spaces </t>
  </si>
  <si>
    <t xml:space="preserve">Exclusive Right of Burial including Registration - Resident </t>
  </si>
  <si>
    <t>Exclusive Right of Burial including Registration - Non Resident</t>
  </si>
  <si>
    <t>Interment fee including excavation all depths</t>
  </si>
  <si>
    <t>A person whose age at time of death exceeds 18 years - Resident</t>
  </si>
  <si>
    <t xml:space="preserve">A person whose age at time of death exceeds 18 - Non Resident </t>
  </si>
  <si>
    <t>A person whose age at time of death does not exceed 18 years - Resident</t>
  </si>
  <si>
    <t xml:space="preserve">A person whose age at time of death does not exceed 18 - Non Resident </t>
  </si>
  <si>
    <t>Re-open Brick Grave or vault Interment fee</t>
  </si>
  <si>
    <t xml:space="preserve">Mini Cremated Remains Vault </t>
  </si>
  <si>
    <t xml:space="preserve">Mini Cremated Remains Vault max 4 interments (Inclusive of 25 Year Exclusive Rights of Burial, and vase block with metal flower holder) - Resident                                                                                                                                                                                                  </t>
  </si>
  <si>
    <t>Mini Cremated Remains Vault max 4 interments (Inclusive of 25 Year Exclusive Rights of Burial, memorial plaques inscription to include 80 letters and vase block with metal flower holder) - Non Resident</t>
  </si>
  <si>
    <t>Interment Fee in Cremated remains vault</t>
  </si>
  <si>
    <t xml:space="preserve">A person whose age at time of death exceeds 18 years - Non Resident             </t>
  </si>
  <si>
    <t>Cremated remains Vault memorial Inscription</t>
  </si>
  <si>
    <t>Plaque Inscription</t>
  </si>
  <si>
    <t>Porcelain photo plaque (7cm x 5cm)</t>
  </si>
  <si>
    <t>Line Drawing</t>
  </si>
  <si>
    <t>Coloured Line Drawing</t>
  </si>
  <si>
    <t xml:space="preserve">Military Badge or Crest </t>
  </si>
  <si>
    <t>Price on Application</t>
  </si>
  <si>
    <t>Private Grave Space - Children`s (50 years)</t>
  </si>
  <si>
    <r>
      <t>Exclusive Right of Burial Including Registration - Resident -</t>
    </r>
    <r>
      <rPr>
        <b/>
        <sz val="12"/>
        <rFont val="Arial"/>
        <family val="2"/>
      </rPr>
      <t xml:space="preserve"> up to 4ft 6"</t>
    </r>
  </si>
  <si>
    <r>
      <t>Exclusive Right of Burial Including Registration - Non Resident -</t>
    </r>
    <r>
      <rPr>
        <b/>
        <sz val="12"/>
        <rFont val="Arial"/>
        <family val="2"/>
      </rPr>
      <t xml:space="preserve"> up to 4ft 6"</t>
    </r>
  </si>
  <si>
    <t>Cremated Ashes Grave Space inc 75yrs ERB</t>
  </si>
  <si>
    <t>Exclusive Right of Burial including  Registration - Resident</t>
  </si>
  <si>
    <t xml:space="preserve">Exclusive Right of Burial including Registration - Non Resident </t>
  </si>
  <si>
    <t>A person whose age at time of death exceeds 18 years - Non Resident</t>
  </si>
  <si>
    <t>Public Graves (Rights of Burial not purchased)</t>
  </si>
  <si>
    <t>A person whose age at time of death exceeds 18 years</t>
  </si>
  <si>
    <t xml:space="preserve">Monuments/Memorial Rights </t>
  </si>
  <si>
    <t>Headstone or similar without kerbing not exceeding  3.0' in overhall height</t>
  </si>
  <si>
    <t>Headstone or similar exceeding 3.0' in overall height (non lawn sections only) per additional ft or part ft</t>
  </si>
  <si>
    <t>Inscribed Book, Scroll, Tablet or vase not exceeding 20" in height when erected as only memorial marking grave</t>
  </si>
  <si>
    <t>Cremated Remains Grave: Tablet/Vase</t>
  </si>
  <si>
    <t>Additional Inscription (unless added within 6 months of original grant of memorial rights then no charge)</t>
  </si>
  <si>
    <t>Surcharge - except interment of cremated Remains (October to March only)</t>
  </si>
  <si>
    <t>Surcharge for all burials at 2.15 pm</t>
  </si>
  <si>
    <t>Surcharge for all burials at 2.45 pm</t>
  </si>
  <si>
    <t>Exhumation Charges</t>
  </si>
  <si>
    <t>Per coffin exhumed, including excavation</t>
  </si>
  <si>
    <t>At Cost</t>
  </si>
  <si>
    <t>Plus  per coffin exhumed and re-interred in  same cemetery</t>
  </si>
  <si>
    <t>Per container of cremated remains</t>
  </si>
  <si>
    <t>Miscellaneous Charges (Cemeteries)</t>
  </si>
  <si>
    <t>Use of Cemetery Church or Chapel for burial or memorial service  (40 minutes)</t>
  </si>
  <si>
    <t>Extension of burial rights for 25 years once expired</t>
  </si>
  <si>
    <t>Registration transfer of Grant of Right  of Burial</t>
  </si>
  <si>
    <t>Every Search (other than for identification of Grave)</t>
  </si>
  <si>
    <t>Memorials</t>
  </si>
  <si>
    <t>4' Memorial Wooden Seat and Bronze Plaque - Cemetery only</t>
  </si>
  <si>
    <t>6' Memorial Wooden Seat and Bronze Plaque - Cemetery only</t>
  </si>
  <si>
    <t>Plus 25 year lease for all memorial seats</t>
  </si>
  <si>
    <t>Replacement Bronze Plaques (6"x 4")</t>
  </si>
  <si>
    <t>Memorial Tree inc Bronze Plaque (6"x4") - Limited availability</t>
  </si>
  <si>
    <t>Memorial Tree lease  period for  5 years</t>
  </si>
  <si>
    <t>Memorial Tree lease  period for 10 years</t>
  </si>
  <si>
    <t>Memorial Tree  lease renewal  for 5 years</t>
  </si>
  <si>
    <t>Memorial Shrub and Bronze Plaque (6"x4")</t>
  </si>
  <si>
    <t>Memorial Shrub lease period for 5 years</t>
  </si>
  <si>
    <t>Memorial Shrub lease period for 10 years</t>
  </si>
  <si>
    <t>Memorial  Shrub lease renewal for 5 years</t>
  </si>
  <si>
    <t xml:space="preserve">Replacement Bronze Plaques  (6"x 4") </t>
  </si>
  <si>
    <t>Replacement Bronze Plaques  (7"x 5")</t>
  </si>
  <si>
    <t>Replacement Bronze Plaque with Photo (8"x4")</t>
  </si>
  <si>
    <t>Crematorium</t>
  </si>
  <si>
    <t>Cremation fees</t>
  </si>
  <si>
    <t>Cremation Fee incl of environmental charge and medical referee fees - Resident</t>
  </si>
  <si>
    <t>Commital Gold - Cremation only (Any age). Family attending (No service, organist or music, incl of environmental charge) - Resident</t>
  </si>
  <si>
    <t>Commital Silver - Cremation only (Any Age) No Family attending (No Service, organist or Music, incl environmental charge) - Resident</t>
  </si>
  <si>
    <t>Body Parts</t>
  </si>
  <si>
    <t>Miscellaneous Charges</t>
  </si>
  <si>
    <t>Use of Chapel for Memorial Service</t>
  </si>
  <si>
    <t>Metal Urn - Adult</t>
  </si>
  <si>
    <t>No Charge</t>
  </si>
  <si>
    <t>Web Cast Services</t>
  </si>
  <si>
    <t xml:space="preserve">Live webcast </t>
  </si>
  <si>
    <t>Live &amp; 28 days watch again</t>
  </si>
  <si>
    <t>Physical copy (DVD/Blu-Ray/USB Stick)</t>
  </si>
  <si>
    <t>Visual Tribute Services</t>
  </si>
  <si>
    <t>Single Photo (shown throughout Service)</t>
  </si>
  <si>
    <t>Simple slide show (up to 25 photos playerd on a loopor once at a time of your choosing)</t>
  </si>
  <si>
    <t>Professional Photo Tribute (up to 25 photos set to music of your choice played once  at a time of your choosing)</t>
  </si>
  <si>
    <t>Extra Photos (for each extra batch of 25 photos)</t>
  </si>
  <si>
    <t>Physical copy of a tribute on DVD, Blu-Ray or USB</t>
  </si>
  <si>
    <t>Family supplied video checking</t>
  </si>
  <si>
    <t>Storage cremated remains beyond 3 months- per month or part month</t>
  </si>
  <si>
    <t>Scatter or Interment of cremated remains in Garden of Remembrance where cremation took place at another crematorium</t>
  </si>
  <si>
    <t xml:space="preserve">Scatter or Interment of cremated remains in Garden of Remembrance where cremation took place at Southend Crematorium if returned after 1 year </t>
  </si>
  <si>
    <t>Saturday scatter or interment of cremated remains (Maximum of 4 interments PM only) in Garden of Remembrance</t>
  </si>
  <si>
    <t xml:space="preserve">Additional or replacement Certifie  copy of cremation certificate </t>
  </si>
  <si>
    <t>Use of Organ</t>
  </si>
  <si>
    <t>Surcharge for Services over running upto 10 minutes</t>
  </si>
  <si>
    <t xml:space="preserve">Surcharge for Services over running 10 minutes and over </t>
  </si>
  <si>
    <t>Funeral services cancelled after 10am one working day before reserved time</t>
  </si>
  <si>
    <t>Commemorative Fees (incl VAT)</t>
  </si>
  <si>
    <t>Book of Remembrance</t>
  </si>
  <si>
    <t>2 line inscription</t>
  </si>
  <si>
    <t>5 line inscription</t>
  </si>
  <si>
    <t>5 line inscription with Floral Motif</t>
  </si>
  <si>
    <t>5 line inscription with Service Badge / Crest</t>
  </si>
  <si>
    <t>8 line inscription</t>
  </si>
  <si>
    <t>8 line inscription with Floral Motif</t>
  </si>
  <si>
    <t>8 line inscription with Service Badge / Crest</t>
  </si>
  <si>
    <t>8 line inscription with Coat of Arms</t>
  </si>
  <si>
    <t>Remembrance Card</t>
  </si>
  <si>
    <t>Miniature Book of Remembrance</t>
  </si>
  <si>
    <t>Additional lines: per line</t>
  </si>
  <si>
    <t>Memorial panels- 2 or 3 line panel displayed</t>
  </si>
  <si>
    <t>Memorial panel</t>
  </si>
  <si>
    <t>5 year display lease</t>
  </si>
  <si>
    <t>10 year display lease</t>
  </si>
  <si>
    <t>Renewal of display  for 5 year period</t>
  </si>
  <si>
    <t>Re Gild Letter</t>
  </si>
  <si>
    <t>Mulberry Memorial Tree - Scatter Garden</t>
  </si>
  <si>
    <t>Plain leaf plaque</t>
  </si>
  <si>
    <t>Add inscription</t>
  </si>
  <si>
    <t>Add motif</t>
  </si>
  <si>
    <t>Pavillion Plaques (Children)</t>
  </si>
  <si>
    <t xml:space="preserve">Bronze plaque flag style </t>
  </si>
  <si>
    <t>plus 10 year lease</t>
  </si>
  <si>
    <t xml:space="preserve">5 year renewal </t>
  </si>
  <si>
    <t>Memorial Trees and Shrubs - Limited availability</t>
  </si>
  <si>
    <t>Memorial Tree and Bronze Plaque (6"x4")</t>
  </si>
  <si>
    <t>Memorial Tree lease period for 5 years</t>
  </si>
  <si>
    <t>Memorial Tree lease period for 10 years</t>
  </si>
  <si>
    <t>Memorial Tree lease renewal for 5 years</t>
  </si>
  <si>
    <t xml:space="preserve">Replacement Bronze Plaques  (7"x 5") </t>
  </si>
  <si>
    <t>Standard Rose replacement  Bronze Plaque (4"x 6")</t>
  </si>
  <si>
    <t>4' Memorial Seat and Bronze Plaque - Limited availability</t>
  </si>
  <si>
    <t>6' Memorial Seat and Bronze Plaque - Limited availability</t>
  </si>
  <si>
    <t>Replacement Bronze Plaques  (6"x 4")</t>
  </si>
  <si>
    <t>Pergola Walk and Sunken Rose Garden Memorial Scheme</t>
  </si>
  <si>
    <t>Balustrade cremated remains Niche (incl container and 10 year leases)</t>
  </si>
  <si>
    <t xml:space="preserve">Interment fee </t>
  </si>
  <si>
    <t>Inscription</t>
  </si>
  <si>
    <t>Photo plaque</t>
  </si>
  <si>
    <t>Pillar Post</t>
  </si>
  <si>
    <t>photo plaque</t>
  </si>
  <si>
    <t>Atlas pillar memeorial plaque</t>
  </si>
  <si>
    <t>5 year display  lease</t>
  </si>
  <si>
    <t>Chapel memorial plaque</t>
  </si>
  <si>
    <t>Book Memorial Plaque</t>
  </si>
  <si>
    <t>Rose Post inc 5 year Lease and Plaque</t>
  </si>
  <si>
    <t>Memorial Rockery Limited availability</t>
  </si>
  <si>
    <t>Lease 15 years</t>
  </si>
  <si>
    <t>Bronze Plaque (6" x 4")</t>
  </si>
  <si>
    <t>Bronze Plaque (7" x 5")</t>
  </si>
  <si>
    <t>Allotments</t>
  </si>
  <si>
    <t xml:space="preserve">The rents for allotment plots within Southend-on-Sea last increased on 1st April 2018. As set out in the current fees and charges the rent for non-concessions is £4.50 per rod.  The Allotments Act and our tenancy agreement, require a years notice to be served outside the growing season on all allotment tenants advising of the changes to rents. Letters were sent out in 2024 informing tenants that the charges would be increased and therefore the 25/26 charges have already been set and consulted on. </t>
  </si>
  <si>
    <r>
      <t>Per 5.5m</t>
    </r>
    <r>
      <rPr>
        <vertAlign val="superscript"/>
        <sz val="12"/>
        <rFont val="Arial"/>
        <family val="2"/>
      </rPr>
      <t>2</t>
    </r>
    <r>
      <rPr>
        <sz val="12"/>
        <rFont val="Arial"/>
        <family val="2"/>
      </rPr>
      <t xml:space="preserve"> (rod) (plus water recharged at current rates)</t>
    </r>
  </si>
  <si>
    <t>Per 5.5m2 (rod) (plus water recharged at current rates) – Senior (State Pensionable Age)</t>
  </si>
  <si>
    <t xml:space="preserve">Per 5.5m2 (rod) (plus water recharged at current rates) – Advantage Card C </t>
  </si>
  <si>
    <t xml:space="preserve">Per 5.5m2 (rod) (plus water recharged at current rates) – Under 18 </t>
  </si>
  <si>
    <t xml:space="preserve">Edwards Hall Leisure Garden (plus water recharged at current rates)– Allotments </t>
  </si>
  <si>
    <t>Edwards Hall Leisure Garden – Allotments (plus water recharged at current rates) - Senior (State Pensionable Age)</t>
  </si>
  <si>
    <t xml:space="preserve">Edwards Hall Leisure Garden - Allotments (plus water recharged at current rates) - Advantage Card C </t>
  </si>
  <si>
    <t>Edwards Hall Leisure Garden - Allotments (plus water recharged at current rates ) - under 18</t>
  </si>
  <si>
    <t>Building Regulations</t>
  </si>
  <si>
    <t>New Dwellings</t>
  </si>
  <si>
    <t>Plan Charge</t>
  </si>
  <si>
    <t>Houses/Bungalows &lt; 300sqm (1 Plot)</t>
  </si>
  <si>
    <t>Full Cost Recovery</t>
  </si>
  <si>
    <t>Houses/Bungalows &lt; 300sqm (2 Plots)</t>
  </si>
  <si>
    <t>Houses/Bungalows &lt; 300sqm (3 Plots)</t>
  </si>
  <si>
    <t>Houses/Bungalows &lt; 300sqm (4 Plots)</t>
  </si>
  <si>
    <t>Houses/Bungalows &lt; 300sqm (5 Plots)</t>
  </si>
  <si>
    <t>Inspection Charge</t>
  </si>
  <si>
    <t>Building Notice</t>
  </si>
  <si>
    <t>Regularisation</t>
  </si>
  <si>
    <t>Individually determined</t>
  </si>
  <si>
    <t>1 Flat &lt; 300sqm</t>
  </si>
  <si>
    <t>2 Flats &lt; 300sqm</t>
  </si>
  <si>
    <t>3 Flats &lt; 300sqm</t>
  </si>
  <si>
    <t>4 Flats &lt; 300sqm</t>
  </si>
  <si>
    <t>5 Flats &lt; 300sqm</t>
  </si>
  <si>
    <t>EW1</t>
  </si>
  <si>
    <t>Notifiable electrical work (where applicable)</t>
  </si>
  <si>
    <t>Work to a single dwelling</t>
  </si>
  <si>
    <t>1 storey extension not exceeding 40sqm</t>
  </si>
  <si>
    <t>1 storey extension 40 - 100sqm</t>
  </si>
  <si>
    <t>2/3 storey extension not exceeding 40sqm</t>
  </si>
  <si>
    <t>2/3 extension 40 - 100 sqm</t>
  </si>
  <si>
    <t>Garage/store etc not exceeding 100sqm</t>
  </si>
  <si>
    <t>Detached non-habitable domestic building not exc 50sqm</t>
  </si>
  <si>
    <t>Rooms in roof</t>
  </si>
  <si>
    <t>Garage conversions</t>
  </si>
  <si>
    <t>Re-roof etc</t>
  </si>
  <si>
    <t>Window replacement</t>
  </si>
  <si>
    <t>work not exceeding £5000</t>
  </si>
  <si>
    <t>Work £5,000 - £25,000</t>
  </si>
  <si>
    <t>Work £25,000 - £100,000</t>
  </si>
  <si>
    <t>Work not exceeding £5000</t>
  </si>
  <si>
    <t>Replacement Windows</t>
  </si>
  <si>
    <t>All other Non-Domestic Work</t>
  </si>
  <si>
    <t>Renewable Energy Systems</t>
  </si>
  <si>
    <t>Shopfront</t>
  </si>
  <si>
    <t>Work £5000 - £25,000</t>
  </si>
  <si>
    <t>Replacement Windows (large)</t>
  </si>
  <si>
    <t>Renovation of thermal elements</t>
  </si>
  <si>
    <t>Storage Platforms</t>
  </si>
  <si>
    <t>Fit out work</t>
  </si>
  <si>
    <t>Charges for work not included on this schedule will be individually assessed by contacting the Building Control Section on 01702 215345 or buildingcontrol@southend.gov.uk</t>
  </si>
  <si>
    <t>Location/Description</t>
  </si>
  <si>
    <t>Unit</t>
  </si>
  <si>
    <t>On-Street Pay and Display
*applies to Electric vehicles &amp; bays</t>
  </si>
  <si>
    <t>Up to 1 hr</t>
  </si>
  <si>
    <t xml:space="preserve">Up to 2 hrs </t>
  </si>
  <si>
    <t xml:space="preserve">Up to 3 hrs </t>
  </si>
  <si>
    <t>Up to 4 hrs</t>
  </si>
  <si>
    <t>Up to 6 hrs</t>
  </si>
  <si>
    <t>Up to 10 hrs</t>
  </si>
  <si>
    <t>Up to 13 hrs</t>
  </si>
  <si>
    <t>Off-Street (Car Parks)
*applies to Electric vehicles &amp; bays
(VAT applicable)</t>
  </si>
  <si>
    <t>Pre-booked coach parking (VAT applicable)</t>
  </si>
  <si>
    <t>Daily (until closing time)</t>
  </si>
  <si>
    <t> </t>
  </si>
  <si>
    <t>Coach parking (pay on the day) (VAT applicable)</t>
  </si>
  <si>
    <t>Seafront Permit</t>
  </si>
  <si>
    <t>Annual</t>
  </si>
  <si>
    <t>Season Ticket for a Named Car Park**
(VAT applicable)</t>
  </si>
  <si>
    <t>6 month</t>
  </si>
  <si>
    <t>Quarterly</t>
  </si>
  <si>
    <t>Monthly</t>
  </si>
  <si>
    <t>Season Ticket for Car Parks within a specified Zone **                                                 
(VAT applicable)</t>
  </si>
  <si>
    <t>Season Ticket - Baxter Avenue Car Park **</t>
  </si>
  <si>
    <t>1 month</t>
  </si>
  <si>
    <t>6 months</t>
  </si>
  <si>
    <t>12 months</t>
  </si>
  <si>
    <t>Business Permit</t>
  </si>
  <si>
    <t>Scheme specific</t>
  </si>
  <si>
    <t xml:space="preserve">Operational Permit (On-street) - 4 Hours max stay </t>
  </si>
  <si>
    <t>All Zones</t>
  </si>
  <si>
    <t>Operational Permit (On-street) - 6 Hours max stay</t>
  </si>
  <si>
    <t>All  Zones</t>
  </si>
  <si>
    <t>Operational Permit (On-street)
 - Generic/Transferable  - 4 hours max stay</t>
  </si>
  <si>
    <t xml:space="preserve">Operational Permit (On &amp; Off Street)
 - 6 Hours max stay </t>
  </si>
  <si>
    <t xml:space="preserve">South Essex Homes Permit (Operational Permit)
 - 4 hours max stay </t>
  </si>
  <si>
    <t>SEH locations only</t>
  </si>
  <si>
    <t>Resident Carer Permit (1 permit per household only)</t>
  </si>
  <si>
    <t>Resident Permit - Electric Vehicle</t>
  </si>
  <si>
    <t>Resident Permit - 1st car</t>
  </si>
  <si>
    <t xml:space="preserve">Resident Permit - 2nd car </t>
  </si>
  <si>
    <t>Resident Permit - 3rd car</t>
  </si>
  <si>
    <t>Resident Permit - 4th car</t>
  </si>
  <si>
    <t>Educational Permit **</t>
  </si>
  <si>
    <t>Tradesperson Permit (On and Off street inc RPZ) 8am to 6pm Monday to Saturday</t>
  </si>
  <si>
    <t>Southend Pass per vehicle (VAT applicable)</t>
  </si>
  <si>
    <t>** Terms &amp; Conditions Apply to all charges noted</t>
  </si>
  <si>
    <t>Charge</t>
  </si>
  <si>
    <t>Daily</t>
  </si>
  <si>
    <t>Parking Dispensation</t>
  </si>
  <si>
    <t>Weekly (7 days)</t>
  </si>
  <si>
    <t>Car Park unlock tariff</t>
  </si>
  <si>
    <t>Each occasion</t>
  </si>
  <si>
    <t>Suspension (Admin Fee)</t>
  </si>
  <si>
    <t>Suspension (on-street)</t>
  </si>
  <si>
    <t>Per day, per bay, per metre</t>
  </si>
  <si>
    <t>Per week</t>
  </si>
  <si>
    <t>Suspension (off-street) (VAT applicable)</t>
  </si>
  <si>
    <t xml:space="preserve">Amendment to existing permit </t>
  </si>
  <si>
    <t>Vehicle changes</t>
  </si>
  <si>
    <t xml:space="preserve">Amendment to existing EV permit </t>
  </si>
  <si>
    <t>Replacement or Duplicate season ticket (paper permit)</t>
  </si>
  <si>
    <t>Loss or duplicate request</t>
  </si>
  <si>
    <t>Permit refund admin fee</t>
  </si>
  <si>
    <t>Administrative cost</t>
  </si>
  <si>
    <t>Hotels and guesthouses discount rate</t>
  </si>
  <si>
    <t>Daily, up to end of charging period</t>
  </si>
  <si>
    <t>50% of max daily parking tariff</t>
  </si>
  <si>
    <t xml:space="preserve">Authorised copy of car park key </t>
  </si>
  <si>
    <t>Issuance</t>
  </si>
  <si>
    <t>Replacement key (for any purpose)</t>
  </si>
  <si>
    <t>Free Parking</t>
  </si>
  <si>
    <t xml:space="preserve">Small Business Day </t>
  </si>
  <si>
    <t>Market Trader Season Ticket</t>
  </si>
  <si>
    <t>20 weeks</t>
  </si>
  <si>
    <t>New Road Church Permit</t>
  </si>
  <si>
    <t xml:space="preserve">Specifically for Wesleyan Methodist church (New Road) land agreement 1932. </t>
  </si>
  <si>
    <t>Honorary Alderman or Persons Permit</t>
  </si>
  <si>
    <t xml:space="preserve">Specifically for Honorary personnel only </t>
  </si>
  <si>
    <t xml:space="preserve">Free </t>
  </si>
  <si>
    <t>PCN Charges as per legislative permissions</t>
  </si>
  <si>
    <t>Athletics</t>
  </si>
  <si>
    <t>Southend Athletics Club - season (2 evenings &amp; Sunday a.m.)</t>
  </si>
  <si>
    <t>SLTC (Monday - Friday half day)</t>
  </si>
  <si>
    <t>SLTC (Monday - Friday evening)</t>
  </si>
  <si>
    <t>SLTC (Weekend, half day rate)</t>
  </si>
  <si>
    <t>SLTC (Per Hour up to Max 2 hours)</t>
  </si>
  <si>
    <t>SLTC (Monday - Friday 1 Hour)</t>
  </si>
  <si>
    <t>SLTC - Flood lights (per hour)</t>
  </si>
  <si>
    <t>SLTC – Equipment (hurdles, high jump, pole vault)</t>
  </si>
  <si>
    <t>SLTC - Pit Area, Hurdles, Misc. (Charges Per Area)</t>
  </si>
  <si>
    <t>SLTC - Casual Adult</t>
  </si>
  <si>
    <t>SLTC - Casual Junior &amp; Concession</t>
  </si>
  <si>
    <t>SLTC - School track hire - 1 hour</t>
  </si>
  <si>
    <t xml:space="preserve">SLTC - School track hire - half day rate </t>
  </si>
  <si>
    <t xml:space="preserve">SLTC - School track hire - full day rate </t>
  </si>
  <si>
    <t xml:space="preserve">Bowls (parks) </t>
  </si>
  <si>
    <t>Bowls Season Ticket</t>
  </si>
  <si>
    <t>NB: Advantage Card discounts not applicable on season ticket purchases</t>
  </si>
  <si>
    <t>Other Bowls Charges</t>
  </si>
  <si>
    <t>Cadet Season Ticket 16 &amp; under</t>
  </si>
  <si>
    <t>Per Hour (per person)</t>
  </si>
  <si>
    <t>Per Hour (per person)-Advantage Card AB</t>
  </si>
  <si>
    <t xml:space="preserve">Per Hour (per person)-Advantage Card C </t>
  </si>
  <si>
    <t>Per Hour 16 and Under (per person)</t>
  </si>
  <si>
    <t>Per Hour 16 and Under (per person) Advantage Card AB</t>
  </si>
  <si>
    <t xml:space="preserve">Per Hour 16 and Under (per person) Advantage Card C </t>
  </si>
  <si>
    <t>Two Hour Game (Per Person)</t>
  </si>
  <si>
    <t>Two Hour Game (Per Person)- Advantage Card AB</t>
  </si>
  <si>
    <t xml:space="preserve">Two Hour Game (Per Person)- Advantage Card C </t>
  </si>
  <si>
    <t>Rink hire - Visiting Club (2 hour maximum)</t>
  </si>
  <si>
    <t>County Matches - Visiting Club - No charge</t>
  </si>
  <si>
    <t>Member of visiting club (per game) (collected by host club)</t>
  </si>
  <si>
    <t>Cricket</t>
  </si>
  <si>
    <t>Cat A (season every Saturday/Sunday)</t>
  </si>
  <si>
    <t>Cat A (season every Saturday/Sunday) with Council pavilion</t>
  </si>
  <si>
    <t>Cat B (season every Saturday/Sunday)</t>
  </si>
  <si>
    <t>Cat A (season every weekday - 1 day)</t>
  </si>
  <si>
    <t>Cat A (season every weekday - 1 day) with Council pavilion</t>
  </si>
  <si>
    <t>CAT B (season every weekday - 1 day)</t>
  </si>
  <si>
    <t>Cat A (season every weekday - 1 evening)</t>
  </si>
  <si>
    <t>Cat A (season every weekday - 1 evening) with Council Pavilion</t>
  </si>
  <si>
    <t>Cat B (season every weekday - 1 evening)</t>
  </si>
  <si>
    <t>Cat A (casual all day - 11.00 a.m.)</t>
  </si>
  <si>
    <t>Cat A (casual all day - 11.00 a.m.) with Council pavilion</t>
  </si>
  <si>
    <t>Cat B (casual all day - 11 a.m.)</t>
  </si>
  <si>
    <t>Cat A (casual half day - 2.00 p.m.)</t>
  </si>
  <si>
    <t>Cat A (casual half day - 2.00 p.m.) with Council pavilion</t>
  </si>
  <si>
    <t>Cat B (casual half day - 2.00 p.m.)</t>
  </si>
  <si>
    <t>Cat A (casual evening - 6.00 p.m.)</t>
  </si>
  <si>
    <t>Cat A (casual evening - 6.00 p.m.) with Council pavilion</t>
  </si>
  <si>
    <t>Cat B (casual evening - 6.00 p.m.)</t>
  </si>
  <si>
    <t>Cat A (casual Sunday &amp; Bank Holiday afternoon)</t>
  </si>
  <si>
    <t>Cat A (casual Sunday &amp; Bank Holiday afternoon) with Council pavilion</t>
  </si>
  <si>
    <t>Cat B (casual Sunday &amp; Bank Holiday afternoon)</t>
  </si>
  <si>
    <t>Cat A (casual Sunday &amp; Bank Holiday all day)</t>
  </si>
  <si>
    <t>Cat A (casual Sunday &amp; Bank Holiday all day) with Council pavilion</t>
  </si>
  <si>
    <t>Cat B (casual Sunday &amp; Bank Holiday all day)</t>
  </si>
  <si>
    <t>Cricket Pitch junior practice (half day)</t>
  </si>
  <si>
    <t>Cat A (Sunday a.m. youth on Saturday wicket)</t>
  </si>
  <si>
    <t>Cat B (Sunday a.m. youth on Saturday wicket)</t>
  </si>
  <si>
    <t>Chalkwell Park artificial wicket (casual)</t>
  </si>
  <si>
    <t>Golf</t>
  </si>
  <si>
    <t>18 Holes (Monday-Friday)</t>
  </si>
  <si>
    <t>18 Holes (Monday-Friday) Advantage Card AB</t>
  </si>
  <si>
    <t>18 Holes (Monday-Friday) Advantage Card C</t>
  </si>
  <si>
    <t>Twilight (Monday - Friday) 9 holes</t>
  </si>
  <si>
    <t>18 Holes (Saturday, Sunday &amp; Bank Holidays)</t>
  </si>
  <si>
    <t>18 Holes (Saturday, Sunday &amp; Bank Holidays) - Advantage Card AB</t>
  </si>
  <si>
    <t>18 Holes (Saturday, Sunday &amp; Bank Holidays) - Advantage Card C</t>
  </si>
  <si>
    <t>Twilight (Saturday, Sunday &amp; Bank Holidays) 9 Holes</t>
  </si>
  <si>
    <t>18 Holes (Monday-Friday Senior)</t>
  </si>
  <si>
    <t>18 Holes (Monday-Friday 18 and Under)</t>
  </si>
  <si>
    <t>18 Holes (Monday-Friday Senior) Advantage Card AB</t>
  </si>
  <si>
    <t>18 Holes (Monday-Friday 18 and Under) Advantage Card AB</t>
  </si>
  <si>
    <t>18 Holes (Monday-Friday Senior) Advantage Card C</t>
  </si>
  <si>
    <t>18 Holes (Monday-Friday  18 and Under) Advantage Card C</t>
  </si>
  <si>
    <t>Twilight 9 Holes (Monday-Friday Senior)</t>
  </si>
  <si>
    <t>Twilight 9 Holes (Monday-Friday 18 and Under)</t>
  </si>
  <si>
    <t xml:space="preserve">Off Peak (Monday-Friday) </t>
  </si>
  <si>
    <t xml:space="preserve">Off Peak (Saturday, Sunday &amp; Bank Holidays) </t>
  </si>
  <si>
    <t>Off Peak (Monday - Friday, Senior/ 18 and Under)</t>
  </si>
  <si>
    <t>Lesson Ticket</t>
  </si>
  <si>
    <t>Lesson Ticket (Golf Foundation Under 18)</t>
  </si>
  <si>
    <t>Lesson Ticket (Golf Foundation Under 18) - Advantage Card AB</t>
  </si>
  <si>
    <t>Lesson Ticket (Golf Foundation Under 18) - Advantage Card C</t>
  </si>
  <si>
    <t>Practice Ticket</t>
  </si>
  <si>
    <t>Season Ticket 7 Day</t>
  </si>
  <si>
    <t>Season Ticket 7 Day Advantage Card C</t>
  </si>
  <si>
    <t>Season Ticket 5 Day before 5.00 pm  Senior (State Pensionable Age)</t>
  </si>
  <si>
    <t>Season Ticket 5 Day before 5.00 pm Senior (State Pensionable Age) -Advantage Card C</t>
  </si>
  <si>
    <t>Season Ticket 5 Day</t>
  </si>
  <si>
    <t>Season Ticket 5 Day Advantage Card C</t>
  </si>
  <si>
    <t>Season Ticket Student  Under 18’s</t>
  </si>
  <si>
    <t>Locker Rent (per annum)</t>
  </si>
  <si>
    <t>Block Booking for 2 hours</t>
  </si>
  <si>
    <t>Block Booking (home clubs) for 2 hours</t>
  </si>
  <si>
    <t>Tee Reservation (Annual School Championship)</t>
  </si>
  <si>
    <t xml:space="preserve">Pitch &amp; Putt (per round) Adult </t>
  </si>
  <si>
    <t>Pitch &amp; Putt (per round) Adult Advantage Card AB</t>
  </si>
  <si>
    <t>Pitch &amp; Putt (per round) Adult Advantage Card C</t>
  </si>
  <si>
    <t>Pitch &amp; Putt (per round) Child</t>
  </si>
  <si>
    <t>Pitch &amp; Putt (per round) Child Advantage Card AB</t>
  </si>
  <si>
    <t>Pitch &amp; Putt (per round) Child Advantage Card C</t>
  </si>
  <si>
    <t>Rugby</t>
  </si>
  <si>
    <t>Cat A (Season - Warners/Westbarrow)</t>
  </si>
  <si>
    <t>Cat A (casual)</t>
  </si>
  <si>
    <t>Under 13’s – Under 19’s on ‘Senior Pitch’  Sunday Season</t>
  </si>
  <si>
    <t>Under 13’s – Under 19’s on ‘Senior Pitch ’ Sunday Casual</t>
  </si>
  <si>
    <t>Mini Rugby – on Senior Pitches</t>
  </si>
  <si>
    <t xml:space="preserve"> </t>
  </si>
  <si>
    <t>Football</t>
  </si>
  <si>
    <t>Cat A (season 28 weeks - weekday)</t>
  </si>
  <si>
    <t>Cat B (season 28 weeks - weekday)</t>
  </si>
  <si>
    <t>Cat C (season 28 weeks - weekday)</t>
  </si>
  <si>
    <t>Cat A (season 28 weeks - Saturday/Sunday)</t>
  </si>
  <si>
    <t>Cat B (season 28 weeks - Saturday/Sunday)</t>
  </si>
  <si>
    <t>Cat C (season 28 weeks - Saturday/Sunday)</t>
  </si>
  <si>
    <t>Cat B (casual)</t>
  </si>
  <si>
    <t>Cat C (casual)</t>
  </si>
  <si>
    <t>Youth Commemoration/Jones Memorial Grounds (season - under 18)</t>
  </si>
  <si>
    <t>Youth Commemoration/Jones Memorial Grounds (casual - under 18)</t>
  </si>
  <si>
    <t>Youth Commemoration/Jones Memorial Grounds (season - under 16)</t>
  </si>
  <si>
    <t>Youth Commemoration/Jones Memorial Grounds (casual - under 16)</t>
  </si>
  <si>
    <t>Youth Commemoration/Jones Memorial Grounds (season - under 11)</t>
  </si>
  <si>
    <t>Youth Commemoration/Jones Memorial Grounds (casual - under 11)</t>
  </si>
  <si>
    <t>Southchurch Park Arena ( Southend Manor) Season and training area</t>
  </si>
  <si>
    <t>Mini soccer  (season 28 weeks)</t>
  </si>
  <si>
    <t>Casual</t>
  </si>
  <si>
    <t>Synthetic Pitch – Warners Park</t>
  </si>
  <si>
    <t>Pitch per hour</t>
  </si>
  <si>
    <t>Floodlighting per hour</t>
  </si>
  <si>
    <t>Tennis (Outdoor Courts Priory and Chalkwell)</t>
  </si>
  <si>
    <t>Parks Tennis - Annual Membership</t>
  </si>
  <si>
    <t>Floodlights</t>
  </si>
  <si>
    <t>Parks Tennis Court Hire - Non Member</t>
  </si>
  <si>
    <t>Parks Tennis Court Hire - Non Member (with a Member)</t>
  </si>
  <si>
    <t>Park or site event hire</t>
  </si>
  <si>
    <t>Charity and Community Small</t>
  </si>
  <si>
    <t>Charity and Community Medium</t>
  </si>
  <si>
    <t>Charity and Community Large</t>
  </si>
  <si>
    <t>Commercial Small</t>
  </si>
  <si>
    <t>Commercial Medium</t>
  </si>
  <si>
    <t>Commercial Large</t>
  </si>
  <si>
    <t>Standpipe for Small Event</t>
  </si>
  <si>
    <t>Standpipe for Medium Event</t>
  </si>
  <si>
    <t>Standpipe for Large Event</t>
  </si>
  <si>
    <t>Other events</t>
  </si>
  <si>
    <t xml:space="preserve">Bandstand  - Priory Park 2 hour performance and 2 hour set up fee </t>
  </si>
  <si>
    <t>Outdoor Fitness Classes Annual Permit</t>
  </si>
  <si>
    <t>Partnership events with the Council free of charge</t>
  </si>
  <si>
    <t>Miscellaneous</t>
  </si>
  <si>
    <t>Key deposit (refundable)</t>
  </si>
  <si>
    <t>Plaque for Donated Item</t>
  </si>
  <si>
    <t>Plaque for Donated Items - Advantage Card ABC</t>
  </si>
  <si>
    <t>Donated Wooden Seats &amp; Plaques</t>
  </si>
  <si>
    <t>Donated Wooden Seats &amp; Plaques Advantage Card ABC</t>
  </si>
  <si>
    <t>Donated Metal Seats &amp; Plaques</t>
  </si>
  <si>
    <t>Donated Metal Seats &amp; Plaques Advantage Card ABC</t>
  </si>
  <si>
    <t>Donated Seats – Cliffs Gardens &amp; Prittlewell Square</t>
  </si>
  <si>
    <t>Donated Seats – Cliffs Gardens &amp; Prittlewell Square Advantage Card ABC</t>
  </si>
  <si>
    <t>Donated Seat and Plaque - Rustic Bench</t>
  </si>
  <si>
    <t>Donated Seat and Plaque - Rustic Bench Advantage Card ABC</t>
  </si>
  <si>
    <t>Sponsored items</t>
  </si>
  <si>
    <t>Play equipment, sculpture, flower beds, shrubs, specimen tree planting  - by negotiation</t>
  </si>
  <si>
    <t>Advantage cards</t>
  </si>
  <si>
    <t>Access gates</t>
  </si>
  <si>
    <t>Access Gate Licence (5 years) for gate from private property onto amenity land.</t>
  </si>
  <si>
    <t>Floristry</t>
  </si>
  <si>
    <t>All Arrangements</t>
  </si>
  <si>
    <t>Each order based on current maket price of cut flowers at time of sale.</t>
  </si>
  <si>
    <t>Museum - Service fees</t>
  </si>
  <si>
    <t>Venue Hire - Priory and Southchurch</t>
  </si>
  <si>
    <t>Daytime charge 9am - 5pm - Commercial Organisations - Summer Opening  (9am-3pm Winter Opening)</t>
  </si>
  <si>
    <t>Daytime charge 9am - 5pm - Voluntary Sector / Charity - Summer Opening (9am - 3pm Winter Opening)</t>
  </si>
  <si>
    <t xml:space="preserve">Evenings 5pm - 10pm Commercial Organisations - Summer Opening </t>
  </si>
  <si>
    <t>Evenings 5pm - 10pm Voluntary Sector/charity - Summer Opening</t>
  </si>
  <si>
    <t>Additional Hour 10pm - 11:00pm - Summer Opening</t>
  </si>
  <si>
    <t>Central Museum OR Beecroft Art Gallery Evenings 5 - 10pm - Weekdays cultural, educational &amp; charitable purposes, per hour (or part)</t>
  </si>
  <si>
    <t>One Mayoral Charity Function Per Annum – Staffing charge per Hour</t>
  </si>
  <si>
    <t>Priory Visitor centre (Wed - Sunday)  cultural, educational &amp; charitable purposes, per hour (or part)</t>
  </si>
  <si>
    <t>Priory Visitor centre (Wed - Sun) private functions / parties</t>
  </si>
  <si>
    <t>Priory Visitor Centre, (Wed - Sun) Commercial organisations</t>
  </si>
  <si>
    <t>Weddings/Civic Ceremonies (Southchurch Hall)</t>
  </si>
  <si>
    <t>Wednesday, Thursday</t>
  </si>
  <si>
    <t>Monday, Tuesday, Friday, Saturday, Sunday</t>
  </si>
  <si>
    <t>Weddings/Civil Ceremonies (Priory)</t>
  </si>
  <si>
    <t>Wed, Thur before 18:00 hrs</t>
  </si>
  <si>
    <t>Wed, Thur 18:00 to 22:00 hrs</t>
  </si>
  <si>
    <t>Mon, Tues, Fri, Sat, Sun before 18:00 hrs</t>
  </si>
  <si>
    <t>Mon, Tues, Fri, Sat, Sun 18:00 to 22:00 hrs</t>
  </si>
  <si>
    <t xml:space="preserve">Deposit </t>
  </si>
  <si>
    <t>Beecroft Art Gallery Fees</t>
  </si>
  <si>
    <t>Lecture Theatre Wed - Sun (Commercial organisations and Public Meetings held by Political Parties – per hour 10am - 5pm )</t>
  </si>
  <si>
    <t>Lecture Theatre Wed - Sun (SCC partner organisations / charities) per hour. 10am - 5pm</t>
  </si>
  <si>
    <t>Meeting Rooms</t>
  </si>
  <si>
    <t>Private View - first 2 hours</t>
  </si>
  <si>
    <t xml:space="preserve">Private view - subsequent hours per hour </t>
  </si>
  <si>
    <t>Sale of works commission (30%)</t>
  </si>
  <si>
    <t>Open exhibition entry fee, 1 work</t>
  </si>
  <si>
    <t>Open exhibition entry fee, 2 works</t>
  </si>
  <si>
    <t>Open exhibition entry fee, 3 works</t>
  </si>
  <si>
    <t>Planetarium Fees</t>
  </si>
  <si>
    <t>Single Adult</t>
  </si>
  <si>
    <t>Single Child/OAP</t>
  </si>
  <si>
    <t>Family Ticket (2 adults &amp; 3 children)</t>
  </si>
  <si>
    <t>10 Adults or more (any additional at pro rata costs)</t>
  </si>
  <si>
    <t>10 Children or more (any additional at pro rata costs)</t>
  </si>
  <si>
    <t>Evening Booking Surcharge (for groups)</t>
  </si>
  <si>
    <t>Market Rate</t>
  </si>
  <si>
    <t>Other Charges</t>
  </si>
  <si>
    <t xml:space="preserve">General Admissions - Free </t>
  </si>
  <si>
    <t>Special exhibitions &amp; events (including Sundays)</t>
  </si>
  <si>
    <t>Historic Buildings and Monuments Records searches</t>
  </si>
  <si>
    <t xml:space="preserve"> HBSMR Larger Record Searches</t>
  </si>
  <si>
    <t>General Museum Enquiries / Research</t>
  </si>
  <si>
    <t>No charge</t>
  </si>
  <si>
    <t>Education Fees</t>
  </si>
  <si>
    <t>School group single session 1.5 hours - 16 up to 30 children</t>
  </si>
  <si>
    <t>School group single session 1.5 hours - up to 15 children</t>
  </si>
  <si>
    <t>School planetarium session</t>
  </si>
  <si>
    <t>Space Plus Session</t>
  </si>
  <si>
    <t>TBD</t>
  </si>
  <si>
    <t>School group half day session  per class (up to 30 )</t>
  </si>
  <si>
    <t>School loans, per 3 boxes per month</t>
  </si>
  <si>
    <t>£15.00 for 1 week</t>
  </si>
  <si>
    <t>School Outreach -Single Session up to 30 per class</t>
  </si>
  <si>
    <t>Charity/SCC outreach talk</t>
  </si>
  <si>
    <t>Outreach talks up to an hour minimum 10 people at another venue</t>
  </si>
  <si>
    <t>Private Tours by Visitor Engagement Officers</t>
  </si>
  <si>
    <t>Archaeological deposit charges</t>
  </si>
  <si>
    <t>Full box</t>
  </si>
  <si>
    <t>Half box</t>
  </si>
  <si>
    <t>Skull box</t>
  </si>
  <si>
    <t>Human Bone</t>
  </si>
  <si>
    <t>Map rolls per 100g</t>
  </si>
  <si>
    <t xml:space="preserve">Photographic reproduction charges - commercial </t>
  </si>
  <si>
    <t>For book jackets/covers</t>
  </si>
  <si>
    <t>£35.00 per image or at discretion</t>
  </si>
  <si>
    <t>For book/magazine illustrations</t>
  </si>
  <si>
    <t>Library service fees</t>
  </si>
  <si>
    <t>Reservations – each item reserved on adult ticket</t>
  </si>
  <si>
    <t>Reservations – each item reserved on adult ticket by staff</t>
  </si>
  <si>
    <t>Charge for obtaining items from SELMS and not suitable for purchase</t>
  </si>
  <si>
    <t>Charges for searches by staff: Time spent reporting the results of a search will be charged in addition to time spent searching.</t>
  </si>
  <si>
    <t>Research Enquiries</t>
  </si>
  <si>
    <t>Commerical Organisation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</si>
  <si>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Private Individual charge. Family History, Census and Parish Register Enquiries - First 30 mins free. Time spent reporting the results of a search will be charged in addition to time spent searching. Charges equivalent to those made by ERO - Chelmsford ** VAT not applicable if enquiry is from overseas.</t>
  </si>
  <si>
    <t>Fines – Books, Compact Discs and Cassettes</t>
  </si>
  <si>
    <t>Charge for each day issuing library is open</t>
  </si>
  <si>
    <t>Maximum Charge for each loan (a renewal is a new loan)</t>
  </si>
  <si>
    <t>Recorded Sound</t>
  </si>
  <si>
    <t>Audio Books: Adults: 1 or 2 cassettes/CD’s (3 week loan)</t>
  </si>
  <si>
    <t>Adults: 3 CD’s and over (3 week loan)</t>
  </si>
  <si>
    <t>All spoken word for children Free of Charge</t>
  </si>
  <si>
    <t>Language Courses:  Singe item for 3 weeks</t>
  </si>
  <si>
    <t>Multiple sets for 12 weeks</t>
  </si>
  <si>
    <t>DVD</t>
  </si>
  <si>
    <t>Each item/week</t>
  </si>
  <si>
    <t>Overdue: Item/week</t>
  </si>
  <si>
    <t>Maximum charge (10 weeks)</t>
  </si>
  <si>
    <t>Damaged or Lost Items = Admin Fee plus Replacement Cost (If no replacement cost can be found, cost will be determined by Group Manager)</t>
  </si>
  <si>
    <t xml:space="preserve">Admin fee </t>
  </si>
  <si>
    <t>Third Party</t>
  </si>
  <si>
    <t>Photocopies</t>
  </si>
  <si>
    <t>Premises Hire</t>
  </si>
  <si>
    <t xml:space="preserve">Discounts for room bookings:
Commercial  - No discount
Charity, Community  &amp; Council supported projects - 50%
NHS/DWP - 25%
SBC Internal bookings - FREE
Event Southend - 10 free bookings per year, subsequent bookings under partnership discount - 50%
For meetings outside of normal opening hours please refer to Senior Library Managers.
Recurring bookings (minimum 5) - Addt 10% discount                                </t>
  </si>
  <si>
    <t>Forum - Deeping Room - up to 25 people</t>
  </si>
  <si>
    <t>Half Day (4hrs)</t>
  </si>
  <si>
    <t>Full Day (8hrs)</t>
  </si>
  <si>
    <t>Hourly rate (minimum 2 hours) per hour or part of.</t>
  </si>
  <si>
    <t>Weekends (Sat) 9 - 4.00 per hour</t>
  </si>
  <si>
    <t>Forum - Helliwell Room - up to 20 people</t>
  </si>
  <si>
    <t>Full Day (9hrs)</t>
  </si>
  <si>
    <t>Hourly rate (minimum 2 hours) per hour</t>
  </si>
  <si>
    <t>Forum - Combined rooms - up to 40 people</t>
  </si>
  <si>
    <t>Branch Libraries Meetings Rooms</t>
  </si>
  <si>
    <t xml:space="preserve">Discounts for Room Bookings:
Commercial  - No discount
Charity, Community &amp; Council supported projects - 50%
NHS/DWP - 25%
SBC Internal bookings - FREE
For meetings outside of normal opening hours please refer to Senior Library Managers.
Recurring bookings (minimum 5) - Addt 10% discount                                </t>
  </si>
  <si>
    <t>Mon - Fri (from 9.30am)</t>
  </si>
  <si>
    <t xml:space="preserve">Half day (4 hours) </t>
  </si>
  <si>
    <t>Full day (9.30 - 4.30)</t>
  </si>
  <si>
    <t>Hourly rate</t>
  </si>
  <si>
    <t>Sat (from 9.30am)</t>
  </si>
  <si>
    <t>Additional equipment available</t>
  </si>
  <si>
    <t>Flip Charts, paper &amp; flip chart pens - per set (for discounts see above)</t>
  </si>
  <si>
    <t>Projector</t>
  </si>
  <si>
    <t>Forum Foyer</t>
  </si>
  <si>
    <t>Table and 2 chairs for consultations(inc Council Departments)/clinics etc.per day or part</t>
  </si>
  <si>
    <t>Commercial organisations - including Artists</t>
  </si>
  <si>
    <t>Charities - (non profit making) per week</t>
  </si>
  <si>
    <t>Displays – per week</t>
  </si>
  <si>
    <t>Up to 75 sq. m</t>
  </si>
  <si>
    <t>Over 75 sq.m</t>
  </si>
  <si>
    <t>Exhibitions</t>
  </si>
  <si>
    <t>Display screens: Deposit</t>
  </si>
  <si>
    <t>Weekly hire per set</t>
  </si>
  <si>
    <t>Display cases or shop window displays - By Agreement</t>
  </si>
  <si>
    <t xml:space="preserve">FORUM SPACE - PEOPLE'S GALLERY - Exhibition of wall mounted art works or crafts by individual artists and craftsmen </t>
  </si>
  <si>
    <t>Charges are per calendar month:</t>
  </si>
  <si>
    <t xml:space="preserve">Full Gallery </t>
  </si>
  <si>
    <t>Curved Wall</t>
  </si>
  <si>
    <t>Porthole Wall</t>
  </si>
  <si>
    <t>Private Views (subject to availability minimum 2hrs before 7pm)</t>
  </si>
  <si>
    <t>Private Views (subject to availability minimum 2hrs after 7pm)</t>
  </si>
  <si>
    <t xml:space="preserve">Internet </t>
  </si>
  <si>
    <t>First hour Free (additional 1 hour for Universal Credit holders if no paying customers waiting)</t>
  </si>
  <si>
    <t>Subsequent hours – per hour</t>
  </si>
  <si>
    <t>Talks (Libraries)</t>
  </si>
  <si>
    <t>Community groups - see separate charge for Museums</t>
  </si>
  <si>
    <t>Focal Point Gallery</t>
  </si>
  <si>
    <t>Children's Art Classes (2 hr session)</t>
  </si>
  <si>
    <t>Children's Art Classes Siblings</t>
  </si>
  <si>
    <t>Contemporary Elders</t>
  </si>
  <si>
    <t xml:space="preserve">School group two workshop session per child per class up to 30 (1 artist led activity and Library) </t>
  </si>
  <si>
    <t>Schools out of Borough</t>
  </si>
  <si>
    <t>Gallery Tours - Late Thursdays/Students/Access groups</t>
  </si>
  <si>
    <t>Workshops - 2 hrs (£4.50 an hr)</t>
  </si>
  <si>
    <t xml:space="preserve">Workshop sibling </t>
  </si>
  <si>
    <t xml:space="preserve">Workshop concessionary </t>
  </si>
  <si>
    <t>Off-site Walks</t>
  </si>
  <si>
    <t>Off-site Walks Concessionary</t>
  </si>
  <si>
    <t>Panels discussions / Artist's talk</t>
  </si>
  <si>
    <t>Panel discussion / Artist Talk concessionary</t>
  </si>
  <si>
    <t>Hires Commercial Rate</t>
  </si>
  <si>
    <t>Foyer space (excl. staff costs) per hour</t>
  </si>
  <si>
    <t>Private Views: First 2 hours (excl. staff costs)</t>
  </si>
  <si>
    <t>Subsequent hours – per hour (excl. staff costs)</t>
  </si>
  <si>
    <t>Introductory Tour</t>
  </si>
  <si>
    <t>Hires Charity Rate</t>
  </si>
  <si>
    <t>Foyer Space - 2 hrs (excl. staff costs)</t>
  </si>
  <si>
    <t>Private Views - 2 hrs (excl. staff costs)</t>
  </si>
  <si>
    <t xml:space="preserve">Description of Service </t>
  </si>
  <si>
    <t>Civic Suite- Civic Centre</t>
  </si>
  <si>
    <t>Extra Large (Council Chamber) incl. viewing gallery and breakout space (first floor foyer)</t>
  </si>
  <si>
    <t xml:space="preserve">Hourly </t>
  </si>
  <si>
    <t>Large (Committee Room 1, 4a)</t>
  </si>
  <si>
    <t>Medium Large (Committee Rooms 3,4,5,6)</t>
  </si>
  <si>
    <t>Weekend (3hrs) Saturdays 09.00 - 15.00</t>
  </si>
  <si>
    <t>Regular (Committee Rooms 2,7)</t>
  </si>
  <si>
    <t>Small (CSC Meeting Rooms)</t>
  </si>
  <si>
    <t>Table Sales / Stalls (Ground / First Floor Foyer)</t>
  </si>
  <si>
    <t>Concession 1 table</t>
  </si>
  <si>
    <t>Concession 2 tables</t>
  </si>
  <si>
    <t>Concession 3 tables</t>
  </si>
  <si>
    <t>Other related charges</t>
  </si>
  <si>
    <t>Hire of Microphones and System</t>
  </si>
  <si>
    <t>Charter Restaurant - POA dependant upon package. Minimum charge £350 per hire</t>
  </si>
  <si>
    <t>POA</t>
  </si>
  <si>
    <t>Courtyard Café  - POA dependant upon package.  Minimum charge £200 per hire</t>
  </si>
  <si>
    <t>Table Top Conference System</t>
  </si>
  <si>
    <t>Public Services / Government Organisations / Block Bookings</t>
  </si>
  <si>
    <t>Civic Suite Half Day (4hrs) Mon-Fri 08.30 - 17.30 - Medium room &gt;</t>
  </si>
  <si>
    <t>Civic Suite Full Day (9hrs) Mon-Fri 08.30 - 17.30  - Medium room &gt;</t>
  </si>
  <si>
    <t>Tickfield Half Day (4hrs) Mon-Fri 08.30 - 17.30 - Regular room &gt;</t>
  </si>
  <si>
    <t>Tickfield Full Day (9hrs) Mon-Fri 08.30 - 17.30 - Regular room &gt;</t>
  </si>
  <si>
    <t>Porters</t>
  </si>
  <si>
    <t>Monday, Tuesday &amp; Wednesday</t>
  </si>
  <si>
    <t>Thursday, Friday and Weekends</t>
  </si>
  <si>
    <t>Each additional 30 minutes</t>
  </si>
  <si>
    <t>Penalties for Non Return of Information</t>
  </si>
  <si>
    <t>(Penalty fees set by Statute)</t>
  </si>
  <si>
    <t>Initial Failure to provide information</t>
  </si>
  <si>
    <t xml:space="preserve">Failure to notify the Council that an exemption on a dwelling should have ended </t>
  </si>
  <si>
    <t>Failure to notify the Council that a discount (including single person discount and Local Council Tax Support) should have ended</t>
  </si>
  <si>
    <t>Failure to notify the Council of a change of address or fails to notify the council of a change in the liable party</t>
  </si>
  <si>
    <t xml:space="preserve">Failure to provide information requested to identify liability </t>
  </si>
  <si>
    <t xml:space="preserve">Failure to provide information requested after a liability order has been obtained </t>
  </si>
  <si>
    <t>Further Failure to provide information</t>
  </si>
  <si>
    <t>Further failure to supply the requested information (all categories)</t>
  </si>
  <si>
    <t xml:space="preserve">Basis of Charge </t>
  </si>
  <si>
    <t>Highways and Traffic Management Services</t>
  </si>
  <si>
    <t>Vehicle access onto pedestrian zone</t>
  </si>
  <si>
    <t>Apparatus on the highway (crane, cherrypicker etc)</t>
  </si>
  <si>
    <t>Application/Permission to erect temporary structures such as a crane/cherry picker on the highway for up to 5 working days (fee is for each 5 day period) non refundable</t>
  </si>
  <si>
    <t>Deposit - per m2 (minimum deposit £1000)</t>
  </si>
  <si>
    <t>Permit extensions - a new permit is required if works are to be extended</t>
  </si>
  <si>
    <t>Site Inspections to monitor compliance - per inspection (minimum of three inspections)</t>
  </si>
  <si>
    <t>Builders Skips on the Public Highway</t>
  </si>
  <si>
    <t>Skip Company Operators Licence - application registration</t>
  </si>
  <si>
    <t>Application/Permission to place a builders skip on the highway (fee is for each 21 day period) non refundable</t>
  </si>
  <si>
    <t>Skip permit extension</t>
  </si>
  <si>
    <t>Unlicensed skip permit</t>
  </si>
  <si>
    <t>Recovery of expenses to remove or reposition a skip</t>
  </si>
  <si>
    <t xml:space="preserve">Scaffolding or Other Structure on or over the Public Highway </t>
  </si>
  <si>
    <t>Application/permission to erect scaffolding on the highway for up to 28 days (fee is for each 28 day period) non-refundable</t>
  </si>
  <si>
    <t>Deposit - per m2 (minimum deposit £1000.00)</t>
  </si>
  <si>
    <t>Site Inspections to monitor compliance - per inspection (minimum of three inspection)</t>
  </si>
  <si>
    <t xml:space="preserve">Hoarding or Fence on the Public Highway </t>
  </si>
  <si>
    <t>Application/permission of an application/permission to erect a hoarding on the highway for up to 28 days (fee is for each 28 day period) non refundable</t>
  </si>
  <si>
    <t>Deposit of Building Materials on the public highway (S171 licence)</t>
  </si>
  <si>
    <t>Application/Permission to deposit building materials on the highway up to 28 days. (fee is for each 28 day period) non refundable</t>
  </si>
  <si>
    <t xml:space="preserve">Permit extensions - a new permit is required if works are to exceed 28 days </t>
  </si>
  <si>
    <t>Application/permission to carry out works by Licence under Section 50 NRSWA 1991</t>
  </si>
  <si>
    <t>Permission to carry out works by Licence under Section 50 NRSWA 1991</t>
  </si>
  <si>
    <t>Validation or extension request to a s50 licence</t>
  </si>
  <si>
    <t>Temporary Disturbance/Builders Crossing Licence (New)</t>
  </si>
  <si>
    <t>Application/Permission for temporary disturbance licence for up to 28 working days (fee is for each 28 day period) non refundable</t>
  </si>
  <si>
    <t>Items placed on the Public Highway Licence (New)</t>
  </si>
  <si>
    <t>Application fee to place items on the public highway. (Licence for up to 12 month period) non refundable</t>
  </si>
  <si>
    <t>Licence fee (12 month period-non refundable)</t>
  </si>
  <si>
    <t>Application under S247 TCPA 1990 to stop up the highway</t>
  </si>
  <si>
    <t>Cost of dealing with a public inquiry if the making of a stopping up order is challenged</t>
  </si>
  <si>
    <t>Bollard (reset)</t>
  </si>
  <si>
    <t>Bollard (replacement)</t>
  </si>
  <si>
    <t>Street Lighting Column Replacement</t>
  </si>
  <si>
    <t>Traffic signals (re-plumb post)</t>
  </si>
  <si>
    <t>Replace Bus infrastructure</t>
  </si>
  <si>
    <t>Full cost recovery</t>
  </si>
  <si>
    <t>Repair Bus shelters</t>
  </si>
  <si>
    <t>Bond for all commercial works</t>
  </si>
  <si>
    <t>Bond for all residential works</t>
  </si>
  <si>
    <t>Technical approval of Highways structures (Fee for administering, commissioning specialist structural engineers and signing the Technical Approvals)</t>
  </si>
  <si>
    <t>Fee for checking and approving structures (Category 0 – no departure’s)</t>
  </si>
  <si>
    <t>Fee for checking and approving structures (Category 1 – no departure’s)</t>
  </si>
  <si>
    <t>Fee for checking and approving structures (Category 2 – no departure’s)</t>
  </si>
  <si>
    <t>Fee for checking and approving structures (Category 2 – with departure’s)</t>
  </si>
  <si>
    <t>Fee for checking and approving structures (Category 3 – all)</t>
  </si>
  <si>
    <t xml:space="preserve">Permanent Vehicular Crossing </t>
  </si>
  <si>
    <t>PVX; application fee – includes inspection and administration (non refundable)</t>
  </si>
  <si>
    <t>PVX; application fee – includes inspection and administration (non refundable) – cross a watercourse or ditch</t>
  </si>
  <si>
    <t>Cost to construct new or extension to existing domestic vehicle crossing (per square metre rate)</t>
  </si>
  <si>
    <t>PVX; application fee for Commercial PVX</t>
  </si>
  <si>
    <t>Cost to construct new or extension to existing commercial vehicle crossing (per square metre rate) NEW</t>
  </si>
  <si>
    <t>PVX; manually excavated trial pit</t>
  </si>
  <si>
    <t>Traffic Regulation Orders and Road Signs and Lines</t>
  </si>
  <si>
    <t>Temporary Traffic Orders</t>
  </si>
  <si>
    <t>Temporary Traffic Regulation Notice (Emergency Road Closure) No Advert</t>
  </si>
  <si>
    <t>Disabled Parking Bays - Signs, Lines and Admin - TRO is also required</t>
  </si>
  <si>
    <t>Disabled Parking Bays - Traffic Regulation Order (TRO) required which includes advert and consultation period - Line 58 also required</t>
  </si>
  <si>
    <t>Change to Traffic Order</t>
  </si>
  <si>
    <t>Revoke of Traffic regulation order</t>
  </si>
  <si>
    <t>Experimental Traffic Regulation Order</t>
  </si>
  <si>
    <t>Private destination signs (Admin Fee)</t>
  </si>
  <si>
    <t>Cost + £20 Admin Fee</t>
  </si>
  <si>
    <t>Temporary traffic signal design and approval (cost)</t>
  </si>
  <si>
    <t>at cost</t>
  </si>
  <si>
    <t>Temporary traffic signal design and approval (Admin Fee)</t>
  </si>
  <si>
    <t>Attendance by Traffic Signal Engineer to inspect/turn on-off signals for approved purposes(cost)</t>
  </si>
  <si>
    <t>at cost + 15% Admin</t>
  </si>
  <si>
    <t>Attendance by Traffic Signal Engineer to inspect/turn on-off signals for approved purposes per visit</t>
  </si>
  <si>
    <t>Neighbourhood Watch Signs</t>
  </si>
  <si>
    <t>Traffic Regulation Orders - copies / extracts</t>
  </si>
  <si>
    <t>Provision of Road Casualty Data - per street per 500m length</t>
  </si>
  <si>
    <t>Supply of Technical Survey data</t>
  </si>
  <si>
    <t>Approval for temporary direction signage</t>
  </si>
  <si>
    <t>Signs and Lines infrastructure implementation per metre</t>
  </si>
  <si>
    <t>New parking post / plate</t>
  </si>
  <si>
    <t>Implementation / Removal of new bay markings</t>
  </si>
  <si>
    <t>Highways Supervision and Agreements</t>
  </si>
  <si>
    <t>New Street Agreement (Section 38) - 10% of the value of the works</t>
  </si>
  <si>
    <t>Advance Payments Code - inspection, administration and legal fees</t>
  </si>
  <si>
    <t>Road Safety</t>
  </si>
  <si>
    <t>Road Safety Promotional - at cost</t>
  </si>
  <si>
    <t>At cost</t>
  </si>
  <si>
    <t>Cycle Training- at various costs, see www.cyclesouthend.co.uk website for details</t>
  </si>
  <si>
    <t>Public Rights of Way</t>
  </si>
  <si>
    <t>Stopping up and diversion of Public Rights of Way - non refundable fee</t>
  </si>
  <si>
    <t>Progression of  work to stop up / divert Public Right of Way or highway, including the cost of advertising</t>
  </si>
  <si>
    <t>Highways Records</t>
  </si>
  <si>
    <t>Highway Boundary Searches</t>
  </si>
  <si>
    <t>Naming / Numbering for new properties</t>
  </si>
  <si>
    <t>Up to 5</t>
  </si>
  <si>
    <t>6 - 20</t>
  </si>
  <si>
    <t>21 - 50</t>
  </si>
  <si>
    <t>51 and over</t>
  </si>
  <si>
    <t>Addressing unregistered properties (each)</t>
  </si>
  <si>
    <t>Provision of street name plates (each)</t>
  </si>
  <si>
    <t>Memorial Benches</t>
  </si>
  <si>
    <t>Memorial Benches - Maintenance</t>
  </si>
  <si>
    <t xml:space="preserve">Memorial Bench  - Bench Removal </t>
  </si>
  <si>
    <t>East of England Common Permit Scheme</t>
  </si>
  <si>
    <t>The penalty fee is £500 if paid within 36 days for working without a permit.</t>
  </si>
  <si>
    <t>The penalty fee is £300 if paid within 28 days for working without a permit.</t>
  </si>
  <si>
    <t>For breaching a condition of a permit the fee is £120 if paid within 36 days</t>
  </si>
  <si>
    <t>For breaching a condition of a permit the fee is £80 if paid within 28 days</t>
  </si>
  <si>
    <t>Permit as per schedule</t>
  </si>
  <si>
    <t>Permit variations on category 0, 1 and 2 streets and category 3 and 4 streets that are traffic sensitive</t>
  </si>
  <si>
    <t>Permit variations for all activities on category 3 and 4 non traffic sensitive streets</t>
  </si>
  <si>
    <t>Immediate activity on a traffic sensitive street Category 1, 2, 3 and 4</t>
  </si>
  <si>
    <t>Immediate activity on a non-traffic sensitive street Category 3 and 4</t>
  </si>
  <si>
    <t>Major activity on a traffic sensitive street Category 1, 2, 3 and 4</t>
  </si>
  <si>
    <t>Standard works on a traffic sensitive street Category 1, 2, 3 and 4</t>
  </si>
  <si>
    <t>Minor works on a traffic sensitive street Category 1, 2, 3 and 4</t>
  </si>
  <si>
    <t>Major works on a non-traffic sensitive street Category 3 and 4</t>
  </si>
  <si>
    <t>Standard works on a non-traffic sensitive street Category 3 and 4</t>
  </si>
  <si>
    <t>Minor works on a non-traffic sensitive street Category 3 and 4</t>
  </si>
  <si>
    <t>S74 – Traffic-sensitive street or protected street not in road category 2, 3 or 4 (first 3 days)</t>
  </si>
  <si>
    <t>S74 – Traffic-sensitive street or protected street not in road category 2, 3 or 4 (each subsequent day)</t>
  </si>
  <si>
    <t>S74 – other street not in road category 2, 3 or 4 (first 3 days)</t>
  </si>
  <si>
    <t>S74 – other street not in road category 2, 3 or 4 (each subsequent day)</t>
  </si>
  <si>
    <t>S74 – Traffic-sensitive street or protected street in road category 2 (first 3 days)</t>
  </si>
  <si>
    <t>S74 – Traffic-sensitive street or protected street in road category 2 (each subsequent day)</t>
  </si>
  <si>
    <t>S74 – other street in road category 2 (first 3 days)</t>
  </si>
  <si>
    <t>S74 – other street in road category 2 (each subsequent day)</t>
  </si>
  <si>
    <t>S74 – Traffic-sensitive street or protected street in road category 3 or 4 (first 3 days)</t>
  </si>
  <si>
    <t>S74 – Traffic-sensitive street or protected street in road category 3 or 4 (each subsequent day)</t>
  </si>
  <si>
    <t>S74 – other street in road category 3 or 4 (first 3 days)</t>
  </si>
  <si>
    <t>S74 – other street in road category 3 or 4 (each subsequent day)</t>
  </si>
  <si>
    <t>S74 - outside the carriageway street not in road category 2, 3 or 4 (each day)</t>
  </si>
  <si>
    <t>S74 - outside the carriageway street in road category 2 (each day)</t>
  </si>
  <si>
    <t>S74 - outside the carriageway street in road category 3 or 4 (each day)</t>
  </si>
  <si>
    <t>Flood Risk Management</t>
  </si>
  <si>
    <t>Section 23 - Land Drainage Act (1991)</t>
  </si>
  <si>
    <t>Pre-Application advice - written advice</t>
  </si>
  <si>
    <t>Pre-Application advice - site visit and written advice</t>
  </si>
  <si>
    <t>Watercourse consent (per structure)</t>
  </si>
  <si>
    <t>Sustainable Drainage Systems (SuDS) planning advice</t>
  </si>
  <si>
    <t>various</t>
  </si>
  <si>
    <t>Travel Centre</t>
  </si>
  <si>
    <t>Departure charges</t>
  </si>
  <si>
    <t xml:space="preserve">Bus Stops </t>
  </si>
  <si>
    <t>Request for stop suspension</t>
  </si>
  <si>
    <t>Added stops on request</t>
  </si>
  <si>
    <t>Digital adverts on real time passenger information screens</t>
  </si>
  <si>
    <t>Contact JMW Media</t>
  </si>
  <si>
    <t>Traffic Information and Modelling</t>
  </si>
  <si>
    <t>Traffic Flow Data per Location</t>
  </si>
  <si>
    <t xml:space="preserve">Use of the Southend Transport Models (cost on application to be agreed, generally SBC consultant`s fee fee plus 20%) </t>
  </si>
  <si>
    <t>* Occupation maybe subject to variation</t>
  </si>
  <si>
    <t>Private Sector Housing Charges</t>
  </si>
  <si>
    <t>Mandatory Licence of House in Multiple Occupation - up to 6 lettings</t>
  </si>
  <si>
    <t>Mandatory Licence of House in Multiple Occupation - each additional letting</t>
  </si>
  <si>
    <t>Selective Licence
The first part of the fee A will be £203 and the second part fee B will be £605.  Total fee £808.</t>
  </si>
  <si>
    <t>*The council uses a wholly electronic application process. Where an applicant demonstrates it is essential to make a non-electronic application, an increase will be made to the fees shown. The increase is available on application and will depend upon circumstances to ensure the fee remains cost-neutral to the council.</t>
  </si>
  <si>
    <t>Improvement Notice</t>
  </si>
  <si>
    <t>Energy Performance Certificate Enforcement</t>
  </si>
  <si>
    <t>Immigration Inspection - initial visit</t>
  </si>
  <si>
    <t>Immigration Inspection - each subsequent visit</t>
  </si>
  <si>
    <t>Hazard Awareness Notice</t>
  </si>
  <si>
    <t>Prohibition Order</t>
  </si>
  <si>
    <t>Emergency Prohibition Order</t>
  </si>
  <si>
    <t>Emergency Remedial Action Notice</t>
  </si>
  <si>
    <t>Demolition Order</t>
  </si>
  <si>
    <t>Clearance Area</t>
  </si>
  <si>
    <t>Interim Management Order</t>
  </si>
  <si>
    <t>Each additional unit above 6 units</t>
  </si>
  <si>
    <t>Final Management Order</t>
  </si>
  <si>
    <t>Interim Empty Dwelling Management Order</t>
  </si>
  <si>
    <t>Final Empty Dwelling Management Order</t>
  </si>
  <si>
    <t>Works in Default undertaken</t>
  </si>
  <si>
    <t>Court of Protection Assistance (charged per hour)</t>
  </si>
  <si>
    <t>Monetary Penalty for failure to join an Ombudsman  Scheme under the Redress Schemes for Lettings Agency and  Property Management Work (England) Order 2014</t>
  </si>
  <si>
    <t>Up to £5,000</t>
  </si>
  <si>
    <t>Monetary Penalty for failure to comply with requirement to install smoke or carbon monoxide alarms under The Smoke and Carbon Monoxide Alarm (England) Regulations 2015</t>
  </si>
  <si>
    <t>Interest charged by Private Sector Housing on outstanding fees</t>
  </si>
  <si>
    <t>Statutory Interest (8%) + Base Rate</t>
  </si>
  <si>
    <t>Licensing Act 2003 (Statutory Fees)</t>
  </si>
  <si>
    <t>Applications for new premises licences and club premises certificates, variations, and annual fees</t>
  </si>
  <si>
    <t>The licence fees payable for Premises Licences and Club Premises Certificates are based upon the rateable value in the local non-domestic rating list for the time being in force. The fees payable are set in Bands, depending upon the rateable value, in accordance with the table below.</t>
  </si>
  <si>
    <t>In addition to the main fees payable upon application, an annual charge is also payable on the anniversary of the date of the original grant.  The relevant fee must also be submitted in respect of variation applications.</t>
  </si>
  <si>
    <t>In the case of applications relating to premises in the course of construction, they are assigned to Band C. In the case of premises without a rateable value, they are assigned to Band A.</t>
  </si>
  <si>
    <t>Rateable Value Bands</t>
  </si>
  <si>
    <t>A</t>
  </si>
  <si>
    <t>B</t>
  </si>
  <si>
    <t>C</t>
  </si>
  <si>
    <t>D</t>
  </si>
  <si>
    <t>E</t>
  </si>
  <si>
    <t>Licence or Club Premises Certificate Application Fee £</t>
  </si>
  <si>
    <t>Variation Application Fee £</t>
  </si>
  <si>
    <t>Annual Fee £</t>
  </si>
  <si>
    <t>Rateable Value</t>
  </si>
  <si>
    <t>Band</t>
  </si>
  <si>
    <t>No rateable value to £4,300</t>
  </si>
  <si>
    <t>£4,301 to £33,000</t>
  </si>
  <si>
    <t>£33,001 to £87,000</t>
  </si>
  <si>
    <t>£87,001 to £125,000</t>
  </si>
  <si>
    <t>£125,001 and above</t>
  </si>
  <si>
    <t>A multiplier applied to premises in bands D and E where they are exclusively or primarily used for carrying on the premises the supply of alcohol for consumption on the premises:</t>
  </si>
  <si>
    <t>D (x 2)</t>
  </si>
  <si>
    <t>E (x 3)</t>
  </si>
  <si>
    <t>Licence at Club Premises Certificate application fee £</t>
  </si>
  <si>
    <t>Variation Fee £</t>
  </si>
  <si>
    <t>The above multipliers do not apply to premises for which Club Premises Certificates are applicable.</t>
  </si>
  <si>
    <t>Exceptionally Large Events</t>
  </si>
  <si>
    <t>Where the maximum number of persons to be allowed on the premises at the same time is more than 5,000, an additional fee is payable, in accordance with table below.</t>
  </si>
  <si>
    <t>Number in attendance at any one time</t>
  </si>
  <si>
    <t>Additional fee for application</t>
  </si>
  <si>
    <t>Subsequent annual fee</t>
  </si>
  <si>
    <t>5,000 to 9,999</t>
  </si>
  <si>
    <t>10,000 to 14,999</t>
  </si>
  <si>
    <t>15,000 to 19,999</t>
  </si>
  <si>
    <t>20,000 to 29,999</t>
  </si>
  <si>
    <t>30,000 to 39,999</t>
  </si>
  <si>
    <t>40,000 to 49,999</t>
  </si>
  <si>
    <t>50,000 to 59,999</t>
  </si>
  <si>
    <t>60,000 to 69,999</t>
  </si>
  <si>
    <t>70,000 to 79,999</t>
  </si>
  <si>
    <t>80,000 to 89,999</t>
  </si>
  <si>
    <t>90,000 and over</t>
  </si>
  <si>
    <t>Exemptions</t>
  </si>
  <si>
    <t>Certain exemptions to fees apply in the case applications for premises, club premises certificates, annual fees for such premises, and related variation applications.</t>
  </si>
  <si>
    <t>The exemptions cover Regulated Entertainment only, and relate to:</t>
  </si>
  <si>
    <t>a)</t>
  </si>
  <si>
    <t>Educational institutions comprising schools and colleges (in specified circumstances), and</t>
  </si>
  <si>
    <t>b)</t>
  </si>
  <si>
    <t>Premises which form part of a church hall, chapel hall or other similar building or a village hall, parish hall or community hall or other similar building.</t>
  </si>
  <si>
    <t>Gambling Act (Full Cost Recovery)</t>
  </si>
  <si>
    <t>Table of Fees for Licensed Premises</t>
  </si>
  <si>
    <t>Licensed Premises Type</t>
  </si>
  <si>
    <t>Application Fee for non-conversion provisional statement premises (i.e premises already having provisional statement)</t>
  </si>
  <si>
    <t>New Application Fee</t>
  </si>
  <si>
    <t>First Annual Fee for Premises Licence</t>
  </si>
  <si>
    <t>Annual Fee</t>
  </si>
  <si>
    <t>Converted Casino Premises Licence (Existing Casino)</t>
  </si>
  <si>
    <t>N/A</t>
  </si>
  <si>
    <t>Bingo Premises Licence</t>
  </si>
  <si>
    <t>Adult Gaming Centre Premises Licence</t>
  </si>
  <si>
    <t>Betting Premises (Track) Licence</t>
  </si>
  <si>
    <t>Family Entertainment Centre Premises Licence</t>
  </si>
  <si>
    <t>Betting Premises (Other) Licence (ie Betting Shops)</t>
  </si>
  <si>
    <t>Application Fee to Vary Licence</t>
  </si>
  <si>
    <t>Application Fee to Transfer Licence</t>
  </si>
  <si>
    <t>Application Fee for Re-Instatement of Licence</t>
  </si>
  <si>
    <t>Application Fee for Provisional Statement</t>
  </si>
  <si>
    <t>Note: Application for change of circumstances to be charged at £50.00 and application for copy of licence to be charged at £25.00 for all classes of premises. Copy of extract of Licensing Register with be charged at £10.00 plus copying fees if applicable</t>
  </si>
  <si>
    <t>Table of Fees Permits etc. (statutory)</t>
  </si>
  <si>
    <t>Permit Type</t>
  </si>
  <si>
    <t>Application Fee</t>
  </si>
  <si>
    <t>Renewal Fee</t>
  </si>
  <si>
    <t>Transition Application fee</t>
  </si>
  <si>
    <t>Variation Fee</t>
  </si>
  <si>
    <t>Change of Name</t>
  </si>
  <si>
    <t>Transfer Fee</t>
  </si>
  <si>
    <t>Copy of Permit</t>
  </si>
  <si>
    <t>Family Entertainment Centre Gaming Machine Permit</t>
  </si>
  <si>
    <t>(Ten Yearly Renewal)</t>
  </si>
  <si>
    <t>Prize Gaming Permit</t>
  </si>
  <si>
    <t>Club Gaming Permit &amp; Gaming Machine Permit</t>
  </si>
  <si>
    <t>£200 (£100 for holder of Club Premises Certificate or existing part 2/part 3 Operator)</t>
  </si>
  <si>
    <t>£200 (£100 where holder of Club Premises)</t>
  </si>
  <si>
    <t>Alcohol Licensed Premises Gaming Machine Permit</t>
  </si>
  <si>
    <t>Alcohol Licensed Premises - £50 - notification fee only (for authorisation of up to 2 machines)</t>
  </si>
  <si>
    <t>Personal Licences, Temporary Events and Other Fees (Statutory Fees)</t>
  </si>
  <si>
    <t>The following fees are payable:</t>
  </si>
  <si>
    <t>2024/25</t>
  </si>
  <si>
    <t>2025/26</t>
  </si>
  <si>
    <t>Application for a grant or renewal of personal licence</t>
  </si>
  <si>
    <t>Temporary event notice</t>
  </si>
  <si>
    <t>Supply of copy of licence or summary, following loss, theft, etc.</t>
  </si>
  <si>
    <t>Application for a provisional statement where premises being built, etc.</t>
  </si>
  <si>
    <t>Notification of change of name or address of premises licence holder</t>
  </si>
  <si>
    <t>Application to vary licence to specify individual as premises supervisor</t>
  </si>
  <si>
    <t>Application for transfer of premises licence</t>
  </si>
  <si>
    <t>Application for a minor variation to a premises licence</t>
  </si>
  <si>
    <t>Interim authority notice following death etc. of licence holder</t>
  </si>
  <si>
    <t>Supply of copy of club premises certificate or summary, following loss, theft</t>
  </si>
  <si>
    <t>Notification of change of name or alteration of rules of club</t>
  </si>
  <si>
    <t>Change of relevant registered address of club</t>
  </si>
  <si>
    <t>Supply of copy of temporary event notice, following loss, theft, etc.</t>
  </si>
  <si>
    <t>Supply of copy of personal licence, following loss, theft, etc.</t>
  </si>
  <si>
    <t>Fee to accompany notification of change of name or address of personal licence holder</t>
  </si>
  <si>
    <t>Fee to accompany notice from freeholder etc. requesting to be notified of licensing matters</t>
  </si>
  <si>
    <t>Animal Licensing Fees 2025-26</t>
  </si>
  <si>
    <t>Boarding Kennels</t>
  </si>
  <si>
    <t>Catteries</t>
  </si>
  <si>
    <t>Doggy Day Care</t>
  </si>
  <si>
    <t>Dog Breeding SEE NOTE B</t>
  </si>
  <si>
    <t>Selling Pets</t>
  </si>
  <si>
    <t>Training and Exhibiting Animals</t>
  </si>
  <si>
    <t>Dangerous Wild Animals SEE NOTE C</t>
  </si>
  <si>
    <t>New – application fee</t>
  </si>
  <si>
    <t>New – grant fee</t>
  </si>
  <si>
    <t>total (for reference)</t>
  </si>
  <si>
    <t>Renewal  – application fee</t>
  </si>
  <si>
    <t>Renewal – grant fee</t>
  </si>
  <si>
    <t>Variation</t>
  </si>
  <si>
    <t>see note A</t>
  </si>
  <si>
    <t>Re Rating Inspection Fee</t>
  </si>
  <si>
    <t>n/a</t>
  </si>
  <si>
    <t>notes</t>
  </si>
  <si>
    <t>Hiring Horses</t>
  </si>
  <si>
    <t>New – 1 Year</t>
  </si>
  <si>
    <t>Renewal – 1 Year</t>
  </si>
  <si>
    <t>1 year grant fee</t>
  </si>
  <si>
    <t>Renewal – 2 Years</t>
  </si>
  <si>
    <t>Renewal – 3 Years</t>
  </si>
  <si>
    <t>Zoos</t>
  </si>
  <si>
    <t>(3-6 yearly by instalments)</t>
  </si>
  <si>
    <t>All Licences</t>
  </si>
  <si>
    <t>Replacement of lost documents</t>
  </si>
  <si>
    <t>Standard Search (forms LLC1 and Con29'R') (VAT on Con29'R' element only)</t>
  </si>
  <si>
    <t>Official Search (form LLC1 only)</t>
  </si>
  <si>
    <t>Local Enquiries (form Con29'R' only)</t>
  </si>
  <si>
    <t>Additional Parcels of Land (Standard Search) per parcel (VAT on Con29'R' element only)</t>
  </si>
  <si>
    <t>Extra Parcel Fee (LLC1 only) per parcel</t>
  </si>
  <si>
    <t>Extra Parcel Fee (CON29 only) per parcel</t>
  </si>
  <si>
    <t>Local Enquiries (form CON29'O')  per question</t>
  </si>
  <si>
    <t>Pier Charges</t>
  </si>
  <si>
    <t>Advantage Card discounts apply. Details are available at point of sale.</t>
  </si>
  <si>
    <t>Pier Entry (Walking Only)</t>
  </si>
  <si>
    <t>Winter (no concessions)</t>
  </si>
  <si>
    <t>Summer</t>
  </si>
  <si>
    <t>Summer Child / Concessions</t>
  </si>
  <si>
    <t>Adult</t>
  </si>
  <si>
    <t>Child / concession</t>
  </si>
  <si>
    <t>Family (5 people min two children)</t>
  </si>
  <si>
    <t>Pier train return</t>
  </si>
  <si>
    <t>Attendance Support to Families Scattering Ashes</t>
  </si>
  <si>
    <t>Joining visiting ship</t>
  </si>
  <si>
    <t>As above rates with 20% discount</t>
  </si>
  <si>
    <t>Pier Fishing</t>
  </si>
  <si>
    <t>Any age one way only (licensed angling boat)</t>
  </si>
  <si>
    <t>Pier fishing season tickets</t>
  </si>
  <si>
    <t>Adult day</t>
  </si>
  <si>
    <t>Concession day</t>
  </si>
  <si>
    <t>Adult night</t>
  </si>
  <si>
    <t>Concession night</t>
  </si>
  <si>
    <t>Adult Anytime</t>
  </si>
  <si>
    <t>Concession anytime</t>
  </si>
  <si>
    <t>Pier season tickets (daytime only)</t>
  </si>
  <si>
    <t>Concession</t>
  </si>
  <si>
    <t>Pier head berthing</t>
  </si>
  <si>
    <t>Private craft</t>
  </si>
  <si>
    <t>Up to 40 ft (12.2M)</t>
  </si>
  <si>
    <t>40 ft (12.2m) to 50 ft (15.2m)</t>
  </si>
  <si>
    <t>Over 50 ft (15.2M)</t>
  </si>
  <si>
    <t>Licensed passenger vessels</t>
  </si>
  <si>
    <t>Capacity 1-49 passengers (per visit)</t>
  </si>
  <si>
    <t>Capacity 50+ passengers (per visit)</t>
  </si>
  <si>
    <t>Foreshore charges</t>
  </si>
  <si>
    <t>Moorings</t>
  </si>
  <si>
    <t>Two Tree Island</t>
  </si>
  <si>
    <t>PLA Two Tree Island</t>
  </si>
  <si>
    <t>Hadleigh Ray</t>
  </si>
  <si>
    <t>Leigh Creek</t>
  </si>
  <si>
    <t>Other Mooring Locations</t>
  </si>
  <si>
    <t>Dinghy Racks (Two Tree Island Mooring Holders Only)</t>
  </si>
  <si>
    <t>Other foreshore charges</t>
  </si>
  <si>
    <t>Motor boat / PWC casual launching</t>
  </si>
  <si>
    <t>Sailing / rowing / casual launch</t>
  </si>
  <si>
    <t>Launch of kayak / canoe / paddle board</t>
  </si>
  <si>
    <t>Fine for non-payment of launching fees</t>
  </si>
  <si>
    <t>Season tickets - launching</t>
  </si>
  <si>
    <t>Motor boat/ PWC</t>
  </si>
  <si>
    <t>Sailing / rowing boat</t>
  </si>
  <si>
    <t>Combined Dinghy Launching and Storage (non mooring holders)</t>
  </si>
  <si>
    <t>Boat wreck removal</t>
  </si>
  <si>
    <t>Individual price on application</t>
  </si>
  <si>
    <t>Boatman's license</t>
  </si>
  <si>
    <t>Boat licence - up to 12 passengers</t>
  </si>
  <si>
    <t>Berthing at Leigh Wharfs</t>
  </si>
  <si>
    <t>First day free. Per day or part day thereafter</t>
  </si>
  <si>
    <t>Per day or part after 10 days</t>
  </si>
  <si>
    <t>Use of Leigh Wharfs for lifting boats</t>
  </si>
  <si>
    <t>Charge per occasion</t>
  </si>
  <si>
    <t>Bait digging licence</t>
  </si>
  <si>
    <t>Child / OAP</t>
  </si>
  <si>
    <t>Event Space - use of beach areas</t>
  </si>
  <si>
    <t>Commercial small</t>
  </si>
  <si>
    <t>Planning and Building Regulation Document History requests                                      (including Tree Preservation Orders)</t>
  </si>
  <si>
    <t>Note</t>
  </si>
  <si>
    <t>Only the owner or owners representative are permitted to view plans or associated documents deposited under Building Regulations</t>
  </si>
  <si>
    <t>Requests relating to planning files do not incur VAT</t>
  </si>
  <si>
    <t>To retrieve and view a file that is stored on-site</t>
  </si>
  <si>
    <t>To retrieve and view a file that is stored off-site (Building Control 1975 - 1987)</t>
  </si>
  <si>
    <t xml:space="preserve">Planning History (Search Agents) </t>
  </si>
  <si>
    <t>Written responses to interested parties (in addition to the retrieval fee)</t>
  </si>
  <si>
    <t>To copy an A4 (297 x 210 mm) document (in addition to the retrieval fee)</t>
  </si>
  <si>
    <t>To copy an A3 (297 x 420 mm) document (in addition to the retrieval fee)</t>
  </si>
  <si>
    <t>To copy an A2 (420 x 594 mm) document (in addition to the retrieval fee)</t>
  </si>
  <si>
    <t>To copy an A1 (594 x 841 mm) document (in addition to the retrieval fee)</t>
  </si>
  <si>
    <t>To copy an A0 (841 x 1189 mm) document (in addition to the retrieval fee)</t>
  </si>
  <si>
    <t>Planning fees</t>
  </si>
  <si>
    <t>Majority set by statute (see separate table)</t>
  </si>
  <si>
    <t>Planning Application and related fees</t>
  </si>
  <si>
    <t>https://www.southend.gov.uk/downloads/download/433/planning-fees</t>
  </si>
  <si>
    <t>Pre-application advice - Large scale major</t>
  </si>
  <si>
    <t>In most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most instances</t>
  </si>
  <si>
    <t>Written advice (Not applicable for this type of development)</t>
  </si>
  <si>
    <t>Meeting plus written advice</t>
  </si>
  <si>
    <t>Follow up meeting plus written advice</t>
  </si>
  <si>
    <t>Pre-application advice - Small scale major</t>
  </si>
  <si>
    <t>In many cases the pre-application process will only be appropriate for the initial meeting on these types of project. The case officer will advise on individual cases accordingly, but the Council will expect an applicant to enter into a Planning Performance Agreement for a bespoke fee for engagement beyond the initial meeting in many instances</t>
  </si>
  <si>
    <t>Written advice</t>
  </si>
  <si>
    <t>Pre-application advice - Minor</t>
  </si>
  <si>
    <t>Replacement dwelling, one additional dwelling or annex to a dwelling - Written advice only</t>
  </si>
  <si>
    <t>Replacement dwelling, one additional dwelling or annex to a dwelling - Meeting and written advice</t>
  </si>
  <si>
    <t>Replacement dwelling, one additional dwelling or annex to a dwelling - Follow up meeting and written advice</t>
  </si>
  <si>
    <t>Pre-application advice for people wishing to extend/alter a dwelling</t>
  </si>
  <si>
    <t>Duty Planner</t>
  </si>
  <si>
    <t>Free</t>
  </si>
  <si>
    <t>Alterations to a dwelling - Written advice only</t>
  </si>
  <si>
    <t>Alterations to a dwelling - Meeting and written advice</t>
  </si>
  <si>
    <t>Alterations to a dwelling - Follow up meeting and written advice</t>
  </si>
  <si>
    <t>Premium Services (see website for further details)</t>
  </si>
  <si>
    <t>Applications for certificate of lawful use or development</t>
  </si>
  <si>
    <t>Applications to discharge a condition on a planning permission which does not require consultation</t>
  </si>
  <si>
    <t>Specialist and senior officer pre-application engagement</t>
  </si>
  <si>
    <t>Specialist heritage, design and policy advice</t>
  </si>
  <si>
    <t>Team Leader</t>
  </si>
  <si>
    <t>Group Manager Planning and Building Control</t>
  </si>
  <si>
    <t>Micellaneous Fees</t>
  </si>
  <si>
    <t>Copy of Tree Preservation Order</t>
  </si>
  <si>
    <t>Inspection of compliance with Enforcement Notice</t>
  </si>
  <si>
    <t>Adopted Local Development Framework Documents (per document)</t>
  </si>
  <si>
    <t>Confirmation of compliance with S106 Agreement or CIL Requests</t>
  </si>
  <si>
    <t>High Hedge Complaints</t>
  </si>
  <si>
    <t>Application fee</t>
  </si>
  <si>
    <t>Application fee (concessions only)</t>
  </si>
  <si>
    <t>SUDS Approval Body Applications</t>
  </si>
  <si>
    <t>Suds Application (Major Developments) under 0.5ha</t>
  </si>
  <si>
    <t>Suds Application (Major Developments) 0.5ha - 0.99ha</t>
  </si>
  <si>
    <t>Suds Application (Major Developments) 1ha +</t>
  </si>
  <si>
    <t>Economic Inclusion</t>
  </si>
  <si>
    <t>Delivery of Secretariat Support</t>
  </si>
  <si>
    <t>1.     Commercial Land / Property Transactions</t>
  </si>
  <si>
    <t>Transaction/activity</t>
  </si>
  <si>
    <t>Recommended Fee -</t>
  </si>
  <si>
    <t xml:space="preserve">Property/Surveyors </t>
  </si>
  <si>
    <t>Legal/Solicitor</t>
  </si>
  <si>
    <t>Freehold Transfer / Sale (marketed)</t>
  </si>
  <si>
    <t>Each party to bear own costs</t>
  </si>
  <si>
    <t xml:space="preserve">Each party to bear own costs. </t>
  </si>
  <si>
    <t>(Minimum value £4,000[1])</t>
  </si>
  <si>
    <t>Freehold Transfer / Sale (off-market / special purchaser)</t>
  </si>
  <si>
    <t>1% of greater of market value or agreed price subject to minimum fee £825</t>
  </si>
  <si>
    <t>Simple transfers of land under £1000: £825</t>
  </si>
  <si>
    <t>(Minimum value £4,000)</t>
  </si>
  <si>
    <t xml:space="preserve">For all other transfers by agreement with Legal Services or £110 per hour. </t>
  </si>
  <si>
    <t>New Commercial Lease (marketed)</t>
  </si>
  <si>
    <t>New Commercial Lease (off-market / special purchaser)</t>
  </si>
  <si>
    <t xml:space="preserve">10% of greater of market rent / agreed rent or 1% of market value / agreed premium depending on lease type. </t>
  </si>
  <si>
    <t>By agreement with Legal Services or £110 per hour.</t>
  </si>
  <si>
    <t>Subject to minimum fee £825</t>
  </si>
  <si>
    <t>Supplemental Lease / Short Form Lease or Licence</t>
  </si>
  <si>
    <t>Renewal of lease on same terms (using the same precedent lease as the tenant’s existing lease with no drafting changes (changes to rent, dates etc included).</t>
  </si>
  <si>
    <t>Note: Costs on renewal can only be charged where the lease is contracted out or where a lease is not contracted out but a represented tenant has agreed to pay costs</t>
  </si>
  <si>
    <t>Deed of Release / Deed of Variation or Rectification / Deed of Covenant</t>
  </si>
  <si>
    <t>Licence to Assign / Underlet / Change Use / Alter</t>
  </si>
  <si>
    <t xml:space="preserve">Licence to Assign: £330 minimum </t>
  </si>
  <si>
    <t>Note: + 50% additional charge if more than one element – e.g. to assign and alter would be stated fee x 1.5.</t>
  </si>
  <si>
    <t>Licence to Assign with AGA/GAGA/with guarantor: £550 minimum</t>
  </si>
  <si>
    <t>Surrender of Lease / other legal document.</t>
  </si>
  <si>
    <t>Note: In the case of a surrender and renewal only 50% fee to be charged on surrender and full new lease fee.</t>
  </si>
  <si>
    <r>
      <rPr>
        <sz val="10"/>
        <color theme="0"/>
        <rFont val="Arial"/>
        <family val="2"/>
      </rPr>
      <t>`</t>
    </r>
    <r>
      <rPr>
        <sz val="10"/>
        <color rgb="FF2A1C42"/>
        <rFont val="Arial"/>
        <family val="2"/>
      </rPr>
      <t>1.10</t>
    </r>
  </si>
  <si>
    <t>Registration of Assignment, Underletting or Charge (unless fee otherwise stated in lease)</t>
  </si>
  <si>
    <t>Tenancy at Will</t>
  </si>
  <si>
    <t>£330 minimum</t>
  </si>
  <si>
    <t>Licence to Occupy / Temporary Access Licence e.g. for works access etc</t>
  </si>
  <si>
    <t>Authorised Guarantee Agreement / Other form of Guarantee</t>
  </si>
  <si>
    <t>Rent Deposit Agreement</t>
  </si>
  <si>
    <t>Nomination Agreement</t>
  </si>
  <si>
    <t>Easement / Wayleave / Substation Agreement</t>
  </si>
  <si>
    <t xml:space="preserve">Case by case – minimum fee £550 then hourly rate, total capped at £1,650 depending on complexity. </t>
  </si>
  <si>
    <t>Simple documents: £825</t>
  </si>
  <si>
    <t>Discretion to waive if delivering infrastructure for a Council project.</t>
  </si>
  <si>
    <t>For all other documents by agreement with Legal Services or £110 per hour.</t>
  </si>
  <si>
    <t>Preparation and service of Notices of default (e.g. s.146)</t>
  </si>
  <si>
    <t>Case by Case – minimum fee £250 then hourly rate.</t>
  </si>
  <si>
    <t>Schedule of dilapidations</t>
  </si>
  <si>
    <t>Case by case</t>
  </si>
  <si>
    <t>Agreement for Lease / Option Agreement</t>
  </si>
  <si>
    <t>Minimum fee £500 – case by case, hourly rate applied and capped at £10,000.</t>
  </si>
  <si>
    <t xml:space="preserve">Simple Agreement: £750 </t>
  </si>
  <si>
    <t>If off-market, all Council costs to be underwritten.</t>
  </si>
  <si>
    <t>Legal</t>
  </si>
  <si>
    <t>2.     Right to Buy matters</t>
  </si>
  <si>
    <t>Property</t>
  </si>
  <si>
    <t>Vacation of mortgage/removal of registered charge including sending deeds to borrower’s solicitors</t>
  </si>
  <si>
    <t>Registration of charge (including deferred charges)</t>
  </si>
  <si>
    <t>Notice of Assignment</t>
  </si>
  <si>
    <t>Deed of Variation / Rectification</t>
  </si>
  <si>
    <t>£275 - £550 depending on complexity.</t>
  </si>
  <si>
    <t>£385 for Deed of Variation</t>
  </si>
  <si>
    <t>3.     Beach Huts</t>
  </si>
  <si>
    <t>Consent to assign</t>
  </si>
  <si>
    <t>Notice of assignment for registration of an assignment or a grant of probate of letters of administration</t>
  </si>
  <si>
    <t>Granting new lease</t>
  </si>
  <si>
    <t>4.     S106 Agreements</t>
  </si>
  <si>
    <t>S106 agreements and unilateral undertakings</t>
  </si>
  <si>
    <t>£550 minimum</t>
  </si>
  <si>
    <t>3 or more obligations: £1,650 – £2,750</t>
  </si>
  <si>
    <t>Large sites: £4,400 - £6,600</t>
  </si>
  <si>
    <t>5.     Other / Disbursements</t>
  </si>
  <si>
    <t>Copy documents (non FOI) - certified</t>
  </si>
  <si>
    <t>£55 minimum</t>
  </si>
  <si>
    <t xml:space="preserve">Document recovery charge (if documents held in off site storage) </t>
  </si>
  <si>
    <t xml:space="preserve">Provision of soft copy documents where they are already held electronically </t>
  </si>
  <si>
    <t>Local and Environmental Searches</t>
  </si>
  <si>
    <t>At cost quoted unless unduly complex</t>
  </si>
  <si>
    <t>Land Registry Documents</t>
  </si>
  <si>
    <t xml:space="preserve">Advertising </t>
  </si>
  <si>
    <t>At cost + £30</t>
  </si>
  <si>
    <t>Third party costs (e.g. independent valuation, counsel fees, technical reports needed)</t>
  </si>
  <si>
    <t>At cost quoted</t>
  </si>
  <si>
    <t>Note, additional time cost may be incurred if procurement other than single-source is required.</t>
  </si>
  <si>
    <t xml:space="preserve">               6.     Time charges as applicable / if required.</t>
  </si>
  <si>
    <t>Title</t>
  </si>
  <si>
    <t>Descriptor (indicative)</t>
  </si>
  <si>
    <t>Hourly Rate - Property</t>
  </si>
  <si>
    <t>Director / Head of Service</t>
  </si>
  <si>
    <t xml:space="preserve">Director / Service Lead </t>
  </si>
  <si>
    <t>10+ years Post Qualification Experience</t>
  </si>
  <si>
    <t xml:space="preserve">Team Leader / Senior Surveyor / </t>
  </si>
  <si>
    <t>Team Leader / Manager</t>
  </si>
  <si>
    <t xml:space="preserve">Surveyor / Solicitor/Legal Exec (8 years plus PQE) </t>
  </si>
  <si>
    <t xml:space="preserve">Experienced Surveyor / Solicitor / Legal Executive  </t>
  </si>
  <si>
    <t>8 years Post Qualification Experience</t>
  </si>
  <si>
    <t xml:space="preserve">Surveyor/ Solicitor/Legal Exec </t>
  </si>
  <si>
    <t>0-7 years Post Qualification Experience</t>
  </si>
  <si>
    <t>Registration Service</t>
  </si>
  <si>
    <t>From the General Register Office, Office of National Statistics,</t>
  </si>
  <si>
    <t>Statutory Fees set by the GRO * Subject to a potential price increase</t>
  </si>
  <si>
    <t>Cost of Certificates</t>
  </si>
  <si>
    <t>From Registrar who registered Birth, Death or Marriage:</t>
  </si>
  <si>
    <t>Standard Certificate (at time of registration)</t>
  </si>
  <si>
    <t>Short Birth Certificate (at time of registration)</t>
  </si>
  <si>
    <t>Issuing Certificate after time of registration</t>
  </si>
  <si>
    <t>Cost of Copy Certificates</t>
  </si>
  <si>
    <t>Standard Certificate</t>
  </si>
  <si>
    <t>Short Birth Certificate</t>
  </si>
  <si>
    <t xml:space="preserve">Forename added within 12 months of birth registration </t>
  </si>
  <si>
    <t xml:space="preserve">Consideration by Registrar / Superintendent Registrar of a correction application </t>
  </si>
  <si>
    <t xml:space="preserve">Consideration by the Registrar General of a correction application </t>
  </si>
  <si>
    <t>Next Day Service (order by 2pm)</t>
  </si>
  <si>
    <t xml:space="preserve">Postage costs for postal certificates (UK only) Recorded </t>
  </si>
  <si>
    <t xml:space="preserve">Postage costs for postal certificates (UK only) Special Delivery </t>
  </si>
  <si>
    <t>Marriage and Civil Partnership Ceremonies</t>
  </si>
  <si>
    <t>Southend Register Office Approved Premises in City of Southend and Essex</t>
  </si>
  <si>
    <t>Notice Fee per person *</t>
  </si>
  <si>
    <t>On giving notice to a registration authority (Registration Abroad and Certificates) Order 2005, article 17(2) (certified impediment)</t>
  </si>
  <si>
    <t>Registrar - notice of marriage of a house-bound person</t>
  </si>
  <si>
    <t>Registrar – Attending a marriage at the residence of a house-bound person</t>
  </si>
  <si>
    <t>Entering a notice of marriage by Registrar General’s Licence for an end of life person  (not paid to Council)</t>
  </si>
  <si>
    <t>Attending a marriage by Registrar General’s licence for an end of life person (not paid to Council)</t>
  </si>
  <si>
    <t>Issue of Registrar General's licence for an end of life person (not paid to Council)</t>
  </si>
  <si>
    <t xml:space="preserve">Registrar - Attending at a place of worship </t>
  </si>
  <si>
    <t>Registrar - Attending at the residence of a house-bound person</t>
  </si>
  <si>
    <t xml:space="preserve">Consideration by a Superintendent Registrar of a divorce/civil partnership dissolution obtained outside of the British Isles </t>
  </si>
  <si>
    <t xml:space="preserve">Consideration by the Registrar General of a divorce/civil partnership dissolution obtained outside of the British Isles </t>
  </si>
  <si>
    <t xml:space="preserve">Consideration in reduction of 28 day notice to marry </t>
  </si>
  <si>
    <t>Registrar – certification of a place of meeting for religious worship</t>
  </si>
  <si>
    <t>Registration of a building for the solemnisation of marriages</t>
  </si>
  <si>
    <t xml:space="preserve">Registration of a building which has previously been registered for  the solemnisation of marriages </t>
  </si>
  <si>
    <t>Southend Register Office Approved Premises in City of Southend &amp; Essex (price includes registrar attendance &amp; room hire). Excludes Marriage/Civil Partnership Certificate at Statutory £11 fee per certificate</t>
  </si>
  <si>
    <t>Citizenship Ceremonies</t>
  </si>
  <si>
    <t>Application</t>
  </si>
  <si>
    <t>Standard Group Ceremony</t>
  </si>
  <si>
    <t xml:space="preserve">Marriage, Civil Partnership, Renewal of Vows and Commitment Ceremonies  </t>
  </si>
  <si>
    <t>Non statutory fees, set by Local Authority (price includes registrar attendance, room hire, decorative flowers and commerative box) Excludes Marriage/Civil Partnership Certificate at Statutory £11 fee per certificate</t>
  </si>
  <si>
    <t>Jubilee Room</t>
  </si>
  <si>
    <t>Weekdays Monday - Thursday</t>
  </si>
  <si>
    <t>Friday &amp; Saturday</t>
  </si>
  <si>
    <t>Victoria Room</t>
  </si>
  <si>
    <t>Naming Ceremonies</t>
  </si>
  <si>
    <t>Non statutory fees, set by Local Authority (price includes registrar attendance, room hire, decorative flowers &amp; ceremony pack* VAT charge applies) Excludes Marriage/Civil Partnership Certificate at Statutory £11 fee per certificate</t>
  </si>
  <si>
    <t>Approved Premises Marriage/Civil Partnership Ceremonies (price includes registrar attendance &amp; commemorative box) Excludes Marriage/Civil Partnership Certificate at Statutory £11 fee per certificate</t>
  </si>
  <si>
    <t>Monday - Thursday</t>
  </si>
  <si>
    <t>Sundays &amp; Bank Holidays</t>
  </si>
  <si>
    <t>6pm - 9pm Mon - Thurs</t>
  </si>
  <si>
    <t>6pm - 9pm Friday &amp; Saturday</t>
  </si>
  <si>
    <t>6pm - 9pm Sundays and Bank Holidays</t>
  </si>
  <si>
    <t>Approved Premises Renewal of Vows/Commitment Ceremonies (price includes registrar attendance &amp; commemorative box) Excludes Marriage/Civil Partnership Certificate at Statutory £11 fee per certificate</t>
  </si>
  <si>
    <t xml:space="preserve">Approved Premises Naming Ceremonies (price includes registrar attendance &amp; ceremony pack)  </t>
  </si>
  <si>
    <t>Friday &amp; Saturdays</t>
  </si>
  <si>
    <t xml:space="preserve">Individual Citizenship Ceremonies </t>
  </si>
  <si>
    <t>Staff Attendance – Approved Premises (Monday - Friday)</t>
  </si>
  <si>
    <t>Jubilee Room (Monday - Friday) -  includes room hire</t>
  </si>
  <si>
    <t>Victoria Room (Monday - Friday) - includes room hire</t>
  </si>
  <si>
    <t>Premises License Fees</t>
  </si>
  <si>
    <t>Approved Premises Inspection Fee includes health &amp; safety inspection</t>
  </si>
  <si>
    <t>Approved Premises Application – additional room/decision Review</t>
  </si>
  <si>
    <t>Private Premises Health &amp; Safety Inspection</t>
  </si>
  <si>
    <t>Sundry Sales</t>
  </si>
  <si>
    <t>Confetti</t>
  </si>
  <si>
    <t>All appointments - Bookings/amendments/cancellation fees</t>
  </si>
  <si>
    <t>In the event that the customer makes changes to a booking the following fees will apply:</t>
  </si>
  <si>
    <t>For a ceremony (does not apply to Marriages &amp; Civil Partnerships in the Register Office) a £50 deposit is required which is part of the overall fee. If it is subsequently cancelled with : -</t>
  </si>
  <si>
    <t xml:space="preserve"> - amendment of date of ceremony</t>
  </si>
  <si>
    <t xml:space="preserve"> - less than two months notice  - or failure to cancel - no refund full fee lost</t>
  </si>
  <si>
    <t>Full Fee</t>
  </si>
  <si>
    <t xml:space="preserve"> - notice of marriage / civil partnership cancelled within 24 hours of appointment</t>
  </si>
  <si>
    <t>Certificate Search - Incorrect info provided by client 50% of Certificate fee ( £11/2 = £5.50 ) retained</t>
  </si>
  <si>
    <t>Wedding Décor Package</t>
  </si>
  <si>
    <t>Victoria Room - Chair Covers only</t>
  </si>
  <si>
    <t>Jubilee Room - Backdrop only</t>
  </si>
  <si>
    <t>Jubilee Room - Backdrop, Aisle Runner and Chair Covers</t>
  </si>
  <si>
    <t>Porters - Chair Covers and Aisle Runner</t>
  </si>
  <si>
    <t>Southend Town Centre charges</t>
  </si>
  <si>
    <t>Commercial events</t>
  </si>
  <si>
    <t>Mon - Fri (per day)</t>
  </si>
  <si>
    <t>Sat / Sunday (per day)</t>
  </si>
  <si>
    <t>Weekly charge (Mon - Sun)</t>
  </si>
  <si>
    <t>Thurs - Sun inclusive</t>
  </si>
  <si>
    <t>Charities and Community Organisations (events only)</t>
  </si>
  <si>
    <t>Mon - Sun - Victoria Circus / Gateway / Royal Square / City Beach</t>
  </si>
  <si>
    <t>Mon - Sun - Lloyds Bank (Charity Street Collections ONLY)</t>
  </si>
  <si>
    <t xml:space="preserve"> Free </t>
  </si>
  <si>
    <t>Mon - Sun - All other areas (Contact Business Support for more information)</t>
  </si>
  <si>
    <t>Price subject to discussion regarding nature of event (£100 to £1,000)</t>
  </si>
  <si>
    <t>Market Pitch Fee (per 3m x 3m pitch, per day)</t>
  </si>
  <si>
    <t>Tourism charges</t>
  </si>
  <si>
    <t>Filming and photography</t>
  </si>
  <si>
    <t>Admin events and films (payable by all except student film makers)</t>
  </si>
  <si>
    <t>Location fee - commercial - per hour or part thereof</t>
  </si>
  <si>
    <t>Location fee - non commercial  - per hour or part thereof</t>
  </si>
  <si>
    <t xml:space="preserve">Commercial filming -full day </t>
  </si>
  <si>
    <t>Commercial filming -half day up to 4 hours</t>
  </si>
  <si>
    <t>Non commercial filming - full day</t>
  </si>
  <si>
    <t>Non commercial filming - half day up to 4 hours</t>
  </si>
  <si>
    <t>Photography -Commercial photographic stills</t>
  </si>
  <si>
    <t>Photography -Promotional photographic stills</t>
  </si>
  <si>
    <t>Events</t>
  </si>
  <si>
    <t>Application for an event permit</t>
  </si>
  <si>
    <t>Food Certification</t>
  </si>
  <si>
    <t>Standard Food Export Certificate (includes premises endorsements, Health Certificates, Export Certificates and attestations). There will additionally be a charge for officer time pro rata (on average this is 1.5 hours - please see charge - All Services (per hour))*</t>
  </si>
  <si>
    <t>Food Export Certificate additional costs + all services per officer hour charge and additional cost incurred, for sampling and anaylsis (to be advised at the time)</t>
  </si>
  <si>
    <t>Export Health Certificate (costed based on 1 hr officer time anything exceeding will be charged as per all services per hour)</t>
  </si>
  <si>
    <t>Registration Confirmation letter (all premises including vessels)</t>
  </si>
  <si>
    <t>Registration Confirmation letter-certified (council  stamp)</t>
  </si>
  <si>
    <t>Food Surrender Certificate</t>
  </si>
  <si>
    <t>Collect / Dispose Unfit Food (per hour)</t>
  </si>
  <si>
    <t>Food Hygiene Rating Scheme rescore request</t>
  </si>
  <si>
    <t>Food Hygiene Rating Scheme replacement documents</t>
  </si>
  <si>
    <t>Environmental Protection</t>
  </si>
  <si>
    <t>Environmental Regulation of Industrial Processes (Local Air Pollution Control)</t>
  </si>
  <si>
    <t>All Statuatory Fees Published on Defra Website: https://www.gov.uk/government/publications/environmental-regulation-of-industrial-plant-fees-and-charges</t>
  </si>
  <si>
    <t>Pre-Application Planning - Expert Acoustic Advice (cost per hour)</t>
  </si>
  <si>
    <t>Permitted Process enquiry</t>
  </si>
  <si>
    <t>Contaminated Land and other Environmental Information Regulations Search</t>
  </si>
  <si>
    <t>Dog Warden Service</t>
  </si>
  <si>
    <t>Initial Animal Warden fee (includes prescribed fee/collection/transport/initial kennelling/microchipping)</t>
  </si>
  <si>
    <t>Plus Kennelling charge for each additional day or part day</t>
  </si>
  <si>
    <t>Microchipping Fee (if done by Animal Warden)</t>
  </si>
  <si>
    <t>Regulatory Services</t>
  </si>
  <si>
    <t>Petroleum - Statutory fees</t>
  </si>
  <si>
    <t>Statutory fees announced in-year</t>
  </si>
  <si>
    <t>Not exceeding 2,500 litres (for 1 Year - additional charges apply for 2/3 Years)</t>
  </si>
  <si>
    <t>Exceeding 2,500 litres but not exceeding 50,000 litres (for 1 Year - additional charges apply for 2/3 Years)</t>
  </si>
  <si>
    <t>Exceeding 50,000 litres (for 1 Year - additional charges apply for 2/3 Years)</t>
  </si>
  <si>
    <t>Research on plans of disused sites</t>
  </si>
  <si>
    <t>Explosives - statutory fees</t>
  </si>
  <si>
    <t>Initial Licence of premises for keeping of explosives (1 Year new Licence - additional fees apply for 2-5 years)</t>
  </si>
  <si>
    <t>Renewal of Licence (1 Year new Licence - additional fees apply for 2-5 years)</t>
  </si>
  <si>
    <t>Variation of Licence (amend name or address of site). Other variations at reasonable cost of work done by Licensing Service.</t>
  </si>
  <si>
    <t>Transfer or replacement of Licence document</t>
  </si>
  <si>
    <t>Licence to sell explosives all year round</t>
  </si>
  <si>
    <t>Licence Variation</t>
  </si>
  <si>
    <t>Transfer of licence</t>
  </si>
  <si>
    <t>Replacent documents</t>
  </si>
  <si>
    <t>Sex Establishments</t>
  </si>
  <si>
    <t>Application fee (non refundable) * + £1500 if it goes to Formal Hearing</t>
  </si>
  <si>
    <t>Annual Licence Renewal* + £1500 if it goes to Formal Hearing</t>
  </si>
  <si>
    <t>Transfer</t>
  </si>
  <si>
    <t>Variation * + £1500 if it goes to Formal Hearing</t>
  </si>
  <si>
    <t>SEV Paragraph 7 Waiver application fee</t>
  </si>
  <si>
    <t>Replacement for lost documents / Change of Circumstances</t>
  </si>
  <si>
    <t>Hackney Carriage and Private Hire Licence Fees</t>
  </si>
  <si>
    <t>Vehicles Hackney Carriage</t>
  </si>
  <si>
    <t>1 Year</t>
  </si>
  <si>
    <t>(Replacement Vehicle Fee)</t>
  </si>
  <si>
    <t>Vehicles Private Hire</t>
  </si>
  <si>
    <t>Replacement Vehicle Fee</t>
  </si>
  <si>
    <t>Drivers</t>
  </si>
  <si>
    <t>Licence Fee on First Application and Knowledge Test: 3 Years or part thereof (non used costs refunded if not successful)</t>
  </si>
  <si>
    <t>Enhanced DVLA Records for check for applicants for Hackney Carriage and Private Hire Drivers Licences</t>
  </si>
  <si>
    <t>Licence Renewal Fee</t>
  </si>
  <si>
    <t>Hackney Carriage Vehicle Licence Transfer Administration Fee</t>
  </si>
  <si>
    <t>Additional DBS check when 1st one has been mislaid by applicant</t>
  </si>
  <si>
    <t>Failure to attend an appointment</t>
  </si>
  <si>
    <t>Private Hire Operators</t>
  </si>
  <si>
    <t>5 Years</t>
  </si>
  <si>
    <t>Between 2 &amp; 3 yrs</t>
  </si>
  <si>
    <t>Less than 2 Years</t>
  </si>
  <si>
    <t>If only 3 or less Private Hire Vehicles Licensed an operator may opt for 1 year</t>
  </si>
  <si>
    <t>Replacements</t>
  </si>
  <si>
    <t>Driver’s Badge</t>
  </si>
  <si>
    <t>Licence Plate</t>
  </si>
  <si>
    <t>Plate Holder</t>
  </si>
  <si>
    <t>Door stikcers (each)</t>
  </si>
  <si>
    <t>Internal Disc</t>
  </si>
  <si>
    <t>Supply of Copy Licence</t>
  </si>
  <si>
    <t>Registers</t>
  </si>
  <si>
    <t>Hackney Carriage Register of Licensees</t>
  </si>
  <si>
    <t>Private Hire Register of Licensees</t>
  </si>
  <si>
    <t>Safety and Licensing</t>
  </si>
  <si>
    <t xml:space="preserve">Skin Piercing Registration </t>
  </si>
  <si>
    <t>Tattoo convention - venue charge</t>
  </si>
  <si>
    <t>Tattoo convention - individual registration</t>
  </si>
  <si>
    <t xml:space="preserve">Massage Establishments - Licence </t>
  </si>
  <si>
    <t>Massage Establishments - Renewal paid prior to renewal period expiry</t>
  </si>
  <si>
    <t>Massage Establishments - Renewal paid after renewal period has expired</t>
  </si>
  <si>
    <t>Note: where a licence does not proceed to inspection stage any refund permittted will include a deduction of 13% for pre inspection processing costs</t>
  </si>
  <si>
    <t>Access to CCTV Footage</t>
  </si>
  <si>
    <t>Insurance Company evidential requests</t>
  </si>
  <si>
    <t>CCTV Dark Screen Monitoring (excluding set up costs)</t>
  </si>
  <si>
    <t>Barrier Control Management</t>
  </si>
  <si>
    <t>PTZ camera (Busy public space)</t>
  </si>
  <si>
    <t>PTZ camera (Quiet public space/private land)</t>
  </si>
  <si>
    <t>Fixed camera site (External)</t>
  </si>
  <si>
    <t>Fixed camera (Internal)</t>
  </si>
  <si>
    <t>Yearly Admin charge of a mobile camera including downloads and maintenance</t>
  </si>
  <si>
    <t>CCTV Mobile unit 8hr booking</t>
  </si>
  <si>
    <t>CCTV Mobile unit 4hr booking</t>
  </si>
  <si>
    <t>Additional hourly charge above the 4/8hr</t>
  </si>
  <si>
    <t>CCTV Mobile unit 8hr booking for authorities/agencies signed up to the Southend CCTV partnership.</t>
  </si>
  <si>
    <t>CCTV Mobile unit 4hr booking for authorities/agencies signed up to the Southend CCTV partnership.</t>
  </si>
  <si>
    <t>Additional hourly charge above the 4/8hr for authorities/agencies signed up to the Southend CCTV partnership.</t>
  </si>
  <si>
    <t>Placement of a mobile camera</t>
  </si>
  <si>
    <t>Scrap Metal Dealers</t>
  </si>
  <si>
    <t>Scrap Metal site - New</t>
  </si>
  <si>
    <t>Scrap Metal site - Renewal</t>
  </si>
  <si>
    <t>Scrap Metal site - Variation</t>
  </si>
  <si>
    <t>Additional Scrap Metal site (per site)</t>
  </si>
  <si>
    <t>Scrap Metal Collector- New</t>
  </si>
  <si>
    <t>Scrap Metal Collector- Renewal</t>
  </si>
  <si>
    <t>Scrap Metal Collector- Variation</t>
  </si>
  <si>
    <t xml:space="preserve">Scrap Metal Collector- Change of Address </t>
  </si>
  <si>
    <t>Copy Licence</t>
  </si>
  <si>
    <t>Certified Copy Licence</t>
  </si>
  <si>
    <t>Items on the Highway</t>
  </si>
  <si>
    <t>Energy Services</t>
  </si>
  <si>
    <t>Energy Project Manager (Day Rate)</t>
  </si>
  <si>
    <t xml:space="preserve">Sustainability Officer (Day Rate) </t>
  </si>
  <si>
    <t>Energy Implementation Advice (Day Rate)</t>
  </si>
  <si>
    <t>Fleet Hire Charges  - VAT Chargeable in addition on external hire</t>
  </si>
  <si>
    <t>Small Van Full Day</t>
  </si>
  <si>
    <t>Small Van Half Day</t>
  </si>
  <si>
    <t>Small Van Cost Per Mile</t>
  </si>
  <si>
    <t>Large Van Full Day</t>
  </si>
  <si>
    <t>Large Van Half Day</t>
  </si>
  <si>
    <t>Large Van Cost Per Mile</t>
  </si>
  <si>
    <t>Open Back Tipper Full Day/Crew Cab</t>
  </si>
  <si>
    <t>Open Back Tipper Half Day/ Crew Cab</t>
  </si>
  <si>
    <t>Minibus (up to 16 seater) Full Day</t>
  </si>
  <si>
    <t>Minibus (up to 16 seater) Half Day</t>
  </si>
  <si>
    <t>Minibus Cost Per Mile</t>
  </si>
  <si>
    <t>Driving Assessment for small vehicle</t>
  </si>
  <si>
    <t>Licence Check</t>
  </si>
  <si>
    <t>Parental Contribution (Post 16 Transport)</t>
  </si>
  <si>
    <t>Parental Contribution</t>
  </si>
  <si>
    <t>£500.00 or total cost whichever is greater</t>
  </si>
  <si>
    <t>Waste Collection</t>
  </si>
  <si>
    <t>The following waste collection charges are set and levied by the Council's Waste Collection Contractor. They are set out here for information purposes only.</t>
  </si>
  <si>
    <t>Garden Waste</t>
  </si>
  <si>
    <t>Garden Waste Sacks (roll of 10 sacks)</t>
  </si>
  <si>
    <t>240 litre Garden waste bin (to purchase, one off cost)</t>
  </si>
  <si>
    <t>Bulky Waste</t>
  </si>
  <si>
    <t>1st individual bulky item</t>
  </si>
  <si>
    <t>2nd individual bulky item</t>
  </si>
  <si>
    <t>3rd individual bulky item</t>
  </si>
  <si>
    <t>4th individual bulky item</t>
  </si>
  <si>
    <t>5th individual bulky item</t>
  </si>
  <si>
    <t>Combined items:</t>
  </si>
  <si>
    <t>Three piece suite</t>
  </si>
  <si>
    <t>Dining Table and 6 chairs</t>
  </si>
  <si>
    <t>Max 5 items booked at any one time, other materials or more than 5 items - quotation needed</t>
  </si>
  <si>
    <t>*These are the provisional charges proposed by the contractor delivering the service</t>
  </si>
  <si>
    <t xml:space="preserve">For all other Agreements by agreement with Legal Services or £110 per hour. </t>
  </si>
  <si>
    <t>Graduate Surveyor / Trainee Legal Exec/Trainee Solicitor/Senior Legal Assistant</t>
  </si>
  <si>
    <t>Paralegal/Legal Assistant</t>
  </si>
  <si>
    <t>Statutory fees increased by GRO - May 24</t>
  </si>
  <si>
    <t>Under Review by GRO for 2025</t>
  </si>
  <si>
    <t>Contact NTA for current prices not set by Council</t>
  </si>
  <si>
    <t>Contact NTA</t>
  </si>
  <si>
    <t>cost + 25%</t>
  </si>
  <si>
    <t>Invoice Fee for full cost home care recipients (£1.42 weekly)</t>
  </si>
  <si>
    <t>Cremated Ashes Exhumation fee including excavation all depths</t>
  </si>
  <si>
    <t>Zone 1A***
8am - 9pm</t>
  </si>
  <si>
    <t>Zone 1B
8am - 9pm</t>
  </si>
  <si>
    <t>Zone 2A
8am - 6pm</t>
  </si>
  <si>
    <t>Zone 2B
8am - 6pm</t>
  </si>
  <si>
    <t>Zone 3A
8am - 6pm</t>
  </si>
  <si>
    <t>Zone 3B
8am - 6pm</t>
  </si>
  <si>
    <t>Zone 4A
8am - 6pm</t>
  </si>
  <si>
    <t>Zone 4B
8am - 6pm</t>
  </si>
  <si>
    <t>Up to 8 hrs</t>
  </si>
  <si>
    <t>On-Street Pay and Display
6-9pm Charges</t>
  </si>
  <si>
    <t>Off-Street Pay and Display
6pm to Midnight Charges**</t>
  </si>
  <si>
    <t>Off-Street Pay and Display
6-9pm Charges</t>
  </si>
  <si>
    <t>*** Nov-Jan Zone 1A Prices Reduced to Zone 1B Prices</t>
  </si>
  <si>
    <t>Zone 1A
8am - 9pm</t>
  </si>
  <si>
    <t xml:space="preserve">Resident Permit - Company Vehicle </t>
  </si>
  <si>
    <t xml:space="preserve">Resident Concessionary Permit (in RPS*) </t>
  </si>
  <si>
    <t>Commuter Tariff (selected locations for Southend Pass customers only)</t>
  </si>
  <si>
    <t>Visitors Vouchers (Book of 20) - Paper Book</t>
  </si>
  <si>
    <t>Visitors Vouchers (Book of 20) - Virtual/Electronic</t>
  </si>
  <si>
    <t>To provide free parking in selected Council car parks all day on Sundays in December and Christmas Day (except those with barriers) *</t>
  </si>
  <si>
    <t>Free Parking in Zones 2 and 3 car parks - 1st Saturday in December Only</t>
  </si>
  <si>
    <t>* As required and where applicable</t>
  </si>
  <si>
    <t>Parking Charges 2025/26</t>
  </si>
  <si>
    <t>Scheme under review</t>
  </si>
  <si>
    <t>-</t>
  </si>
  <si>
    <t>Cost + £150 admin fee</t>
  </si>
  <si>
    <t>Travel Plan (TP) Monitoring Fees (refer to Travel Plan guidance) Minimum charge for TP monitoring is £1,000pa for 5 years</t>
  </si>
  <si>
    <t>Ad hoc amount</t>
  </si>
  <si>
    <t>Hotels (C1) Inc 50 bedrooms or more (cost is per annum for 5 years)</t>
  </si>
  <si>
    <t>New Residential Institutions (C2) Inc 50 or more students or 30 or more hospital beds (cost is per annum for 5 years)</t>
  </si>
  <si>
    <t>Residential Development (C3) 20-49 dwellings (cost is per annum for 5 years)</t>
  </si>
  <si>
    <t>Residential Development (C3) 50-79 dwellings (cost is per annum for 5 years)</t>
  </si>
  <si>
    <t>Residential Development (C3) 80 dwellings or more (cost is per annum for 5 years)</t>
  </si>
  <si>
    <t>Commercial/Retail Developments 800 sqm or more (cost is per annum for 5 years)</t>
  </si>
  <si>
    <t>20% plus cost of works in default</t>
  </si>
  <si>
    <t>Home Boarding SEE NOTE D</t>
  </si>
  <si>
    <t>B - vet required at initial grant - costs will be invoiced and added to the grant fee.</t>
  </si>
  <si>
    <t>C - vet required at new and renewal application - costs will be invoiced and added to the grant fee.</t>
  </si>
  <si>
    <t>D - Home Boarding arrangers applications - initial licence includes 1  host family inspection, subsequent inspections charged at the rate stated on the main Regulatory Services fees list.</t>
  </si>
  <si>
    <t>A - variation is charged at a rate of £33.94 per hour or part thereof including travel time, plus 45p per mile each way to the premises from the civic centre for any mileage incurred.</t>
  </si>
  <si>
    <t>Note: Statutory Vets fees will be invoiced separately  after each inspection</t>
  </si>
  <si>
    <t>Works in default undertaken</t>
  </si>
  <si>
    <t>20% plus cost of works</t>
  </si>
  <si>
    <t xml:space="preserve">All Services (per hour or part thereof)                                                                         </t>
  </si>
  <si>
    <t xml:space="preserve">Certifying films (per hour or part thereof)                                                                         </t>
  </si>
  <si>
    <t>Pavement Licence New 2 years</t>
  </si>
  <si>
    <t>Pavement Licence Renewal 2 years</t>
  </si>
  <si>
    <t>Pavement Licence New 1 year</t>
  </si>
  <si>
    <t>Pavement Licence Renewal 1 year</t>
  </si>
  <si>
    <t>Annual garden waste permit</t>
  </si>
  <si>
    <t>Adopt a Plank</t>
  </si>
  <si>
    <t>Adopt a plank - Corporate</t>
  </si>
  <si>
    <t>Adopt a plank - Private</t>
  </si>
  <si>
    <t>Note: new and renewal fees include a grant fee £35.52 which is refundable in the event that the licence is not granted. Any additional vets fees will be charged separately at cost and are not included in the fees above.</t>
  </si>
  <si>
    <t>Please note that the Council’s legal fees are the estimated in-house legal fees, but if the Council externalise the legal work, then the legal fees payable will be at different rates to the Council’s in-house rates.</t>
  </si>
  <si>
    <t>All fees are subject to VAT</t>
  </si>
  <si>
    <t>Applications for extensions to a single dwelling through householder planning application or application for prior approval</t>
  </si>
  <si>
    <t>Please contact Freedom Leisure  at Southend Leisure and Tennis Centre for current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</si>
</sst>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8" formatCode="&quot;£&quot;#,##0.00;[Red]\-&quot;£&quot;#,##0.00"/>
    <numFmt numFmtId="44" formatCode="_-&quot;£&quot;* #,##0.00_-;\-&quot;£&quot;* #,##0.00_-;_-&quot;£&quot;* &quot;-&quot;??_-;_-@_-"/>
    <numFmt numFmtId="43" formatCode="_-* #,##0.00_-;\-* #,##0.00_-;_-* &quot;-&quot;??_-;_-@_-"/>
    <numFmt numFmtId="164" formatCode="#,##0;\(#,##0\)"/>
    <numFmt numFmtId="165" formatCode="#,##0.00\ ;\(#,##0.00\)"/>
    <numFmt numFmtId="166" formatCode="&quot;£&quot;#,##0.00"/>
    <numFmt numFmtId="167" formatCode="#,##0.00\ "/>
    <numFmt numFmtId="168" formatCode="0.0%"/>
  </numFmts>
  <fonts count="53" x14ac:knownFonts="1">
    <font>
      <sz val="11"/>
      <color theme="1"/>
      <name val="Calibri"/>
      <family val="2"/>
      <scheme val="minor"/>
    </font>
    <font>
      <sz val="11"/>
      <color theme="1"/>
      <name val="Calibri"/>
      <family val="2"/>
      <scheme val="minor"/>
    </font>
    <font>
      <sz val="10"/>
      <name val="Arial"/>
      <family val="2"/>
    </font>
    <font>
      <sz val="12"/>
      <name val="Arial"/>
      <family val="2"/>
    </font>
    <font>
      <sz val="12"/>
      <color rgb="FFFF0000"/>
      <name val="Arial"/>
      <family val="2"/>
    </font>
    <font>
      <b/>
      <sz val="12"/>
      <name val="Arial"/>
      <family val="2"/>
    </font>
    <font>
      <b/>
      <sz val="15"/>
      <color theme="3"/>
      <name val="Arial"/>
      <family val="2"/>
    </font>
    <font>
      <b/>
      <sz val="11"/>
      <color theme="3"/>
      <name val="Calibri"/>
      <family val="2"/>
      <scheme val="minor"/>
    </font>
    <font>
      <b/>
      <sz val="13"/>
      <color theme="3"/>
      <name val="Arial"/>
      <family val="2"/>
    </font>
    <font>
      <vertAlign val="superscript"/>
      <sz val="12"/>
      <name val="Arial"/>
      <family val="2"/>
    </font>
    <font>
      <sz val="10"/>
      <color theme="1"/>
      <name val="Arial"/>
      <family val="2"/>
    </font>
    <font>
      <sz val="12"/>
      <color rgb="FF7030A0"/>
      <name val="Arial"/>
      <family val="2"/>
    </font>
    <font>
      <sz val="12"/>
      <color rgb="FF00B050"/>
      <name val="Arial"/>
      <family val="2"/>
    </font>
    <font>
      <sz val="12"/>
      <color rgb="FF002060"/>
      <name val="Arial"/>
      <family val="2"/>
    </font>
    <font>
      <b/>
      <u/>
      <sz val="12"/>
      <name val="Arial"/>
      <family val="2"/>
    </font>
    <font>
      <b/>
      <sz val="12"/>
      <color theme="3"/>
      <name val="Arial"/>
      <family val="2"/>
    </font>
    <font>
      <sz val="12"/>
      <color indexed="8"/>
      <name val="Arial"/>
      <family val="2"/>
    </font>
    <font>
      <sz val="12"/>
      <color rgb="FF92D050"/>
      <name val="Arial"/>
      <family val="2"/>
    </font>
    <font>
      <sz val="12"/>
      <color theme="1"/>
      <name val="Arial"/>
      <family val="2"/>
    </font>
    <font>
      <sz val="12"/>
      <color theme="1"/>
      <name val="Calibri"/>
      <family val="2"/>
      <scheme val="minor"/>
    </font>
    <font>
      <u/>
      <sz val="12"/>
      <color theme="10"/>
      <name val="Arial"/>
      <family val="2"/>
    </font>
    <font>
      <sz val="11"/>
      <name val="Arial"/>
      <family val="2"/>
    </font>
    <font>
      <sz val="10"/>
      <color rgb="FF000000"/>
      <name val="Arial"/>
      <family val="2"/>
    </font>
    <font>
      <sz val="11"/>
      <color theme="1"/>
      <name val="Arial"/>
      <family val="2"/>
    </font>
    <font>
      <sz val="10"/>
      <color rgb="FFFF0000"/>
      <name val="Arial"/>
      <family val="2"/>
    </font>
    <font>
      <sz val="12"/>
      <color indexed="10"/>
      <name val="Arial"/>
      <family val="2"/>
    </font>
    <font>
      <i/>
      <sz val="12"/>
      <name val="Arial"/>
      <family val="2"/>
    </font>
    <font>
      <sz val="12"/>
      <color rgb="FF000000"/>
      <name val="Arial"/>
      <family val="2"/>
    </font>
    <font>
      <strike/>
      <sz val="12"/>
      <name val="Arial"/>
      <family val="2"/>
    </font>
    <font>
      <sz val="12"/>
      <color rgb="FF00B0F0"/>
      <name val="Arial"/>
      <family val="2"/>
    </font>
    <font>
      <sz val="14"/>
      <name val="Arial"/>
      <family val="2"/>
    </font>
    <font>
      <b/>
      <sz val="10"/>
      <color rgb="FFFF0000"/>
      <name val="Arial"/>
      <family val="2"/>
    </font>
    <font>
      <sz val="9"/>
      <name val="Arial"/>
      <family val="2"/>
    </font>
    <font>
      <sz val="11"/>
      <color theme="1"/>
      <name val="Calibri"/>
      <family val="2"/>
    </font>
    <font>
      <b/>
      <sz val="11"/>
      <color theme="1"/>
      <name val="Calibri"/>
      <family val="2"/>
    </font>
    <font>
      <sz val="12"/>
      <color theme="1"/>
      <name val="Calibri"/>
      <family val="2"/>
    </font>
    <font>
      <u/>
      <sz val="6"/>
      <color indexed="12"/>
      <name val="Arial"/>
      <family val="2"/>
    </font>
    <font>
      <u/>
      <sz val="12"/>
      <name val="Arial"/>
      <family val="2"/>
    </font>
    <font>
      <u/>
      <sz val="11"/>
      <color theme="10"/>
      <name val="Calibri"/>
      <family val="2"/>
      <scheme val="minor"/>
    </font>
    <font>
      <b/>
      <sz val="14"/>
      <color theme="3"/>
      <name val="Arial"/>
      <family val="2"/>
    </font>
    <font>
      <b/>
      <sz val="11"/>
      <color rgb="FF2A1C42"/>
      <name val="Arial"/>
      <family val="2"/>
    </font>
    <font>
      <b/>
      <sz val="10"/>
      <color rgb="FF2A1C42"/>
      <name val="Arial"/>
      <family val="2"/>
    </font>
    <font>
      <sz val="10"/>
      <color rgb="FF2A1C42"/>
      <name val="Arial"/>
      <family val="2"/>
    </font>
    <font>
      <sz val="10"/>
      <color theme="0"/>
      <name val="Arial"/>
      <family val="2"/>
    </font>
    <font>
      <b/>
      <sz val="14"/>
      <name val="Arial"/>
      <family val="2"/>
    </font>
    <font>
      <sz val="12"/>
      <color rgb="FF041C2C"/>
      <name val="Arial"/>
      <family val="2"/>
    </font>
    <font>
      <u/>
      <sz val="12"/>
      <color rgb="FF041C2C"/>
      <name val="Arial"/>
      <family val="2"/>
    </font>
    <font>
      <sz val="12"/>
      <name val="Arial"/>
    </font>
    <font>
      <b/>
      <sz val="15"/>
      <color theme="3"/>
      <name val="Calibri"/>
      <family val="2"/>
      <scheme val="minor"/>
    </font>
    <font>
      <b/>
      <sz val="10"/>
      <color theme="3"/>
      <name val="Arial"/>
      <family val="2"/>
    </font>
    <font>
      <b/>
      <sz val="10"/>
      <color rgb="FF000000"/>
      <name val="Arial"/>
      <family val="2"/>
    </font>
    <font>
      <b/>
      <sz val="13"/>
      <color theme="3"/>
      <name val="Calibri"/>
      <family val="2"/>
      <scheme val="minor"/>
    </font>
    <font>
      <i/>
      <sz val="12"/>
      <color theme="1"/>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solid">
        <fgColor rgb="FFE2DFCC"/>
        <bgColor indexed="64"/>
      </patternFill>
    </fill>
    <fill>
      <patternFill patternType="solid">
        <fgColor theme="3" tint="0.89999084444715716"/>
        <bgColor rgb="FF000000"/>
      </patternFill>
    </fill>
    <fill>
      <patternFill patternType="solid">
        <fgColor theme="5" tint="0.79998168889431442"/>
        <bgColor rgb="FF000000"/>
      </patternFill>
    </fill>
    <fill>
      <patternFill patternType="solid">
        <fgColor theme="6" tint="0.79998168889431442"/>
        <bgColor rgb="FF000000"/>
      </patternFill>
    </fill>
    <fill>
      <patternFill patternType="solid">
        <fgColor theme="8" tint="0.79998168889431442"/>
        <bgColor rgb="FF000000"/>
      </patternFill>
    </fill>
  </fills>
  <borders count="58">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ck">
        <color theme="4" tint="0.499984740745262"/>
      </bottom>
      <diagonal/>
    </border>
    <border>
      <left/>
      <right/>
      <top style="medium">
        <color indexed="64"/>
      </top>
      <bottom style="thick">
        <color theme="4" tint="0.499984740745262"/>
      </bottom>
      <diagonal/>
    </border>
    <border>
      <left/>
      <right style="medium">
        <color indexed="64"/>
      </right>
      <top style="medium">
        <color indexed="64"/>
      </top>
      <bottom style="thick">
        <color theme="4" tint="0.499984740745262"/>
      </bottom>
      <diagonal/>
    </border>
    <border>
      <left/>
      <right style="medium">
        <color indexed="64"/>
      </right>
      <top/>
      <bottom style="thick">
        <color theme="4" tint="0.499984740745262"/>
      </bottom>
      <diagonal/>
    </border>
    <border>
      <left style="medium">
        <color indexed="64"/>
      </left>
      <right/>
      <top style="medium">
        <color indexed="64"/>
      </top>
      <bottom style="thick">
        <color theme="4" tint="0.499984740745262"/>
      </bottom>
      <diagonal/>
    </border>
    <border>
      <left/>
      <right style="thin">
        <color indexed="64"/>
      </right>
      <top style="medium">
        <color theme="4" tint="0.39997558519241921"/>
      </top>
      <bottom style="thin">
        <color indexed="64"/>
      </bottom>
      <diagonal/>
    </border>
    <border>
      <left style="thin">
        <color indexed="64"/>
      </left>
      <right style="thin">
        <color indexed="64"/>
      </right>
      <top style="thick">
        <color theme="4"/>
      </top>
      <bottom style="thin">
        <color indexed="64"/>
      </bottom>
      <diagonal/>
    </border>
    <border>
      <left/>
      <right/>
      <top/>
      <bottom style="thick">
        <color rgb="FF00B0F0"/>
      </bottom>
      <diagonal/>
    </border>
    <border>
      <left style="thin">
        <color rgb="FF00B0F0"/>
      </left>
      <right style="thin">
        <color rgb="FF00B0F0"/>
      </right>
      <top style="thick">
        <color rgb="FF00B0F0"/>
      </top>
      <bottom style="thick">
        <color rgb="FF00B0F0"/>
      </bottom>
      <diagonal/>
    </border>
    <border>
      <left style="thin">
        <color rgb="FF00B0F0"/>
      </left>
      <right style="thin">
        <color rgb="FF00B0F0"/>
      </right>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diagonal/>
    </border>
    <border>
      <left/>
      <right/>
      <top style="thin">
        <color rgb="FF00B0F0"/>
      </top>
      <bottom/>
      <diagonal/>
    </border>
    <border>
      <left style="thin">
        <color rgb="FF00B0F0"/>
      </left>
      <right style="thin">
        <color rgb="FF00B0F0"/>
      </right>
      <top style="thin">
        <color rgb="FF00B0F0"/>
      </top>
      <bottom/>
      <diagonal/>
    </border>
    <border>
      <left style="thin">
        <color rgb="FF00B0F0"/>
      </left>
      <right/>
      <top/>
      <bottom/>
      <diagonal/>
    </border>
    <border>
      <left style="thin">
        <color rgb="FF00B0F0"/>
      </left>
      <right/>
      <top/>
      <bottom style="thin">
        <color rgb="FF00B0F0"/>
      </bottom>
      <diagonal/>
    </border>
    <border>
      <left/>
      <right/>
      <top/>
      <bottom style="thin">
        <color rgb="FF00B0F0"/>
      </bottom>
      <diagonal/>
    </border>
    <border>
      <left style="thin">
        <color rgb="FF00B0F0"/>
      </left>
      <right style="thin">
        <color rgb="FF00B0F0"/>
      </right>
      <top/>
      <bottom/>
      <diagonal/>
    </border>
    <border>
      <left/>
      <right style="thin">
        <color rgb="FF00B0F0"/>
      </right>
      <top/>
      <bottom/>
      <diagonal/>
    </border>
    <border>
      <left style="thin">
        <color rgb="FF00B0F0"/>
      </left>
      <right style="thin">
        <color rgb="FF00B0F0"/>
      </right>
      <top style="thick">
        <color rgb="FF00B0F0"/>
      </top>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top style="thick">
        <color rgb="FF00B0F0"/>
      </top>
      <bottom style="thick">
        <color rgb="FF00B0F0"/>
      </bottom>
      <diagonal/>
    </border>
    <border>
      <left/>
      <right style="thin">
        <color rgb="FF00B0F0"/>
      </right>
      <top style="thick">
        <color rgb="FF00B0F0"/>
      </top>
      <bottom style="thick">
        <color rgb="FF00B0F0"/>
      </bottom>
      <diagonal/>
    </border>
    <border>
      <left style="thin">
        <color rgb="FF00B0F0"/>
      </left>
      <right/>
      <top style="thick">
        <color rgb="FF00B0F0"/>
      </top>
      <bottom style="thin">
        <color rgb="FF00B0F0"/>
      </bottom>
      <diagonal/>
    </border>
    <border>
      <left/>
      <right style="thin">
        <color rgb="FF00B0F0"/>
      </right>
      <top style="thick">
        <color rgb="FF00B0F0"/>
      </top>
      <bottom style="thin">
        <color rgb="FF00B0F0"/>
      </bottom>
      <diagonal/>
    </border>
  </borders>
  <cellStyleXfs count="28">
    <xf numFmtId="0" fontId="0" fillId="0" borderId="0"/>
    <xf numFmtId="43" fontId="1" fillId="0" borderId="0" applyFont="0" applyFill="0" applyBorder="0" applyAlignment="0" applyProtection="0"/>
    <xf numFmtId="0" fontId="6" fillId="0" borderId="1" applyNumberFormat="0" applyFill="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7" fillId="0" borderId="0" applyNumberFormat="0" applyFill="0" applyBorder="0" applyAlignment="0" applyProtection="0"/>
    <xf numFmtId="0" fontId="8" fillId="0" borderId="7" applyNumberFormat="0" applyFill="0" applyAlignment="0" applyProtection="0"/>
    <xf numFmtId="0" fontId="10" fillId="0" borderId="0"/>
    <xf numFmtId="0" fontId="15" fillId="0" borderId="8" applyNumberFormat="0" applyFill="0" applyAlignment="0" applyProtection="0"/>
    <xf numFmtId="0" fontId="1" fillId="0" borderId="0"/>
    <xf numFmtId="43" fontId="1" fillId="0" borderId="0" applyFont="0" applyFill="0" applyBorder="0" applyAlignment="0" applyProtection="0"/>
    <xf numFmtId="44" fontId="2" fillId="0" borderId="0" applyFont="0" applyFill="0" applyBorder="0" applyAlignment="0" applyProtection="0"/>
    <xf numFmtId="0" fontId="33" fillId="0" borderId="0"/>
    <xf numFmtId="0" fontId="36"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38" fillId="0" borderId="0" applyNumberFormat="0" applyFill="0" applyBorder="0" applyAlignment="0" applyProtection="0"/>
    <xf numFmtId="0" fontId="39" fillId="0" borderId="7" applyNumberFormat="0" applyFill="0" applyAlignment="0" applyProtection="0"/>
    <xf numFmtId="0" fontId="8" fillId="0" borderId="8" applyNumberFormat="0" applyFill="0" applyAlignment="0" applyProtection="0"/>
    <xf numFmtId="43" fontId="2" fillId="0" borderId="0" applyFont="0" applyFill="0" applyBorder="0" applyAlignment="0" applyProtection="0"/>
    <xf numFmtId="0" fontId="48" fillId="0" borderId="1" applyNumberFormat="0" applyFill="0" applyAlignment="0" applyProtection="0"/>
    <xf numFmtId="0" fontId="51" fillId="0" borderId="7" applyNumberFormat="0" applyFill="0" applyAlignment="0" applyProtection="0"/>
  </cellStyleXfs>
  <cellXfs count="741">
    <xf numFmtId="0" fontId="0" fillId="0" borderId="0" xfId="0"/>
    <xf numFmtId="164" fontId="3" fillId="0" borderId="0" xfId="3" applyNumberFormat="1" applyFont="1"/>
    <xf numFmtId="2" fontId="3" fillId="0" borderId="0" xfId="3" applyNumberFormat="1" applyFont="1"/>
    <xf numFmtId="43" fontId="3" fillId="0" borderId="0" xfId="1" applyFont="1" applyFill="1" applyBorder="1" applyAlignment="1">
      <alignment vertical="center"/>
    </xf>
    <xf numFmtId="43" fontId="3" fillId="2" borderId="0" xfId="1" applyFont="1" applyFill="1" applyBorder="1" applyAlignment="1">
      <alignment vertical="center"/>
    </xf>
    <xf numFmtId="0" fontId="2" fillId="0" borderId="0" xfId="3" applyAlignment="1">
      <alignment horizontal="center"/>
    </xf>
    <xf numFmtId="164" fontId="3" fillId="0" borderId="0" xfId="3" applyNumberFormat="1" applyFont="1" applyAlignment="1">
      <alignment vertical="center" wrapText="1"/>
    </xf>
    <xf numFmtId="164" fontId="3" fillId="0" borderId="0" xfId="3" applyNumberFormat="1" applyFont="1" applyAlignment="1">
      <alignment horizontal="center" vertical="center"/>
    </xf>
    <xf numFmtId="10" fontId="3" fillId="0" borderId="2" xfId="4" applyNumberFormat="1" applyFont="1" applyFill="1" applyBorder="1" applyAlignment="1">
      <alignment horizontal="center" vertical="center"/>
    </xf>
    <xf numFmtId="165" fontId="3" fillId="0" borderId="2" xfId="5" applyNumberFormat="1" applyFont="1" applyFill="1" applyBorder="1" applyAlignment="1">
      <alignment horizontal="right" vertical="center"/>
    </xf>
    <xf numFmtId="43" fontId="3" fillId="0" borderId="2" xfId="1" applyFont="1" applyFill="1" applyBorder="1" applyAlignment="1">
      <alignment vertical="center"/>
    </xf>
    <xf numFmtId="43" fontId="3" fillId="2" borderId="2" xfId="1" applyFont="1" applyFill="1" applyBorder="1" applyAlignment="1">
      <alignment vertical="center"/>
    </xf>
    <xf numFmtId="4" fontId="3" fillId="0" borderId="2" xfId="6" applyNumberFormat="1" applyFont="1" applyBorder="1" applyAlignment="1">
      <alignment horizontal="center" vertical="top" wrapText="1"/>
    </xf>
    <xf numFmtId="164" fontId="3" fillId="0" borderId="2" xfId="3" applyNumberFormat="1" applyFont="1" applyBorder="1" applyAlignment="1">
      <alignment vertical="center" wrapText="1"/>
    </xf>
    <xf numFmtId="164" fontId="3" fillId="0" borderId="2" xfId="3" applyNumberFormat="1" applyFont="1" applyBorder="1" applyAlignment="1">
      <alignment horizontal="center" vertical="center"/>
    </xf>
    <xf numFmtId="43" fontId="3" fillId="0" borderId="2" xfId="1" applyFont="1" applyFill="1" applyBorder="1" applyAlignment="1">
      <alignment horizontal="right" vertical="center"/>
    </xf>
    <xf numFmtId="4" fontId="3" fillId="0" borderId="2" xfId="6" applyNumberFormat="1" applyFont="1" applyBorder="1" applyAlignment="1">
      <alignment horizontal="center" vertical="center" wrapText="1"/>
    </xf>
    <xf numFmtId="0" fontId="3" fillId="0" borderId="2" xfId="7" applyFont="1" applyBorder="1" applyAlignment="1">
      <alignment vertical="center"/>
    </xf>
    <xf numFmtId="2" fontId="3" fillId="0" borderId="2" xfId="3" applyNumberFormat="1" applyFont="1" applyBorder="1"/>
    <xf numFmtId="164" fontId="5" fillId="0" borderId="2" xfId="8" applyNumberFormat="1" applyFont="1" applyBorder="1" applyAlignment="1">
      <alignment vertical="center" wrapText="1"/>
    </xf>
    <xf numFmtId="10" fontId="5" fillId="0" borderId="2" xfId="4" applyNumberFormat="1" applyFont="1" applyFill="1" applyBorder="1" applyAlignment="1">
      <alignment horizontal="center" vertical="center"/>
    </xf>
    <xf numFmtId="4" fontId="5" fillId="0" borderId="2" xfId="6" applyNumberFormat="1" applyFont="1" applyBorder="1" applyAlignment="1">
      <alignment horizontal="center" vertical="center"/>
    </xf>
    <xf numFmtId="43" fontId="5" fillId="0" borderId="2" xfId="1" applyFont="1" applyFill="1" applyBorder="1" applyAlignment="1">
      <alignment horizontal="center" vertical="center"/>
    </xf>
    <xf numFmtId="43" fontId="5" fillId="0" borderId="6" xfId="1" applyFont="1" applyFill="1" applyBorder="1" applyAlignment="1">
      <alignment horizontal="center" vertical="center" wrapText="1"/>
    </xf>
    <xf numFmtId="164" fontId="5" fillId="0" borderId="2" xfId="3" applyNumberFormat="1" applyFont="1" applyBorder="1" applyAlignment="1">
      <alignment horizontal="center" vertical="center"/>
    </xf>
    <xf numFmtId="164" fontId="6" fillId="0" borderId="1" xfId="2" applyNumberFormat="1" applyFill="1"/>
    <xf numFmtId="43"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164" fontId="5" fillId="0" borderId="2" xfId="6" applyNumberFormat="1" applyFont="1" applyBorder="1" applyAlignment="1">
      <alignment horizontal="center" vertical="center"/>
    </xf>
    <xf numFmtId="164" fontId="5" fillId="0" borderId="2" xfId="6" applyNumberFormat="1" applyFont="1" applyBorder="1" applyAlignment="1">
      <alignment horizontal="center" vertical="center" wrapText="1"/>
    </xf>
    <xf numFmtId="43" fontId="5" fillId="0" borderId="0" xfId="5" applyFont="1" applyFill="1" applyBorder="1" applyAlignment="1">
      <alignment horizontal="center" vertical="center" wrapText="1"/>
    </xf>
    <xf numFmtId="4" fontId="5" fillId="0" borderId="6" xfId="6" applyNumberFormat="1" applyFont="1" applyBorder="1" applyAlignment="1">
      <alignment horizontal="center" vertical="center" wrapText="1"/>
    </xf>
    <xf numFmtId="43" fontId="5" fillId="0" borderId="2" xfId="5" applyFont="1" applyFill="1" applyBorder="1" applyAlignment="1">
      <alignment horizontal="center" vertical="center"/>
    </xf>
    <xf numFmtId="43" fontId="5" fillId="0" borderId="6" xfId="5" applyFont="1" applyFill="1" applyBorder="1" applyAlignment="1">
      <alignment horizontal="center" vertical="center" wrapText="1"/>
    </xf>
    <xf numFmtId="49" fontId="2" fillId="0" borderId="0" xfId="6" applyNumberFormat="1"/>
    <xf numFmtId="164" fontId="3" fillId="0" borderId="0" xfId="6" applyNumberFormat="1" applyFont="1"/>
    <xf numFmtId="0" fontId="3" fillId="0" borderId="2" xfId="6" applyFont="1" applyBorder="1" applyAlignment="1">
      <alignment horizontal="center" vertical="center"/>
    </xf>
    <xf numFmtId="0" fontId="3" fillId="0" borderId="9" xfId="6" applyFont="1" applyBorder="1" applyAlignment="1">
      <alignment vertical="top" wrapText="1"/>
    </xf>
    <xf numFmtId="4" fontId="3" fillId="0" borderId="2" xfId="6" applyNumberFormat="1" applyFont="1" applyBorder="1" applyAlignment="1">
      <alignment horizontal="right" vertical="top" wrapText="1"/>
    </xf>
    <xf numFmtId="43" fontId="3" fillId="0" borderId="2" xfId="5" applyFont="1" applyFill="1" applyBorder="1" applyAlignment="1">
      <alignment horizontal="right" vertical="center"/>
    </xf>
    <xf numFmtId="4" fontId="3" fillId="0" borderId="2" xfId="5" applyNumberFormat="1" applyFont="1" applyFill="1" applyBorder="1" applyAlignment="1">
      <alignment horizontal="right" vertical="center"/>
    </xf>
    <xf numFmtId="0" fontId="3" fillId="0" borderId="2" xfId="6" applyFont="1" applyBorder="1" applyAlignment="1">
      <alignment vertical="center" wrapText="1"/>
    </xf>
    <xf numFmtId="2" fontId="3" fillId="0" borderId="2" xfId="6" applyNumberFormat="1" applyFont="1" applyBorder="1" applyAlignment="1">
      <alignment horizontal="center"/>
    </xf>
    <xf numFmtId="0" fontId="10" fillId="0" borderId="0" xfId="11" applyAlignment="1">
      <alignment horizontal="center"/>
    </xf>
    <xf numFmtId="164" fontId="11" fillId="0" borderId="0" xfId="6" applyNumberFormat="1" applyFont="1" applyAlignment="1">
      <alignment vertical="center"/>
    </xf>
    <xf numFmtId="164" fontId="11" fillId="0" borderId="0" xfId="6" applyNumberFormat="1" applyFont="1" applyAlignment="1">
      <alignment vertical="center" wrapText="1"/>
    </xf>
    <xf numFmtId="164" fontId="3" fillId="0" borderId="0" xfId="6" applyNumberFormat="1" applyFont="1" applyAlignment="1">
      <alignment vertical="center" wrapText="1"/>
    </xf>
    <xf numFmtId="43" fontId="3" fillId="0" borderId="0" xfId="5" applyFont="1" applyFill="1" applyBorder="1" applyAlignment="1">
      <alignment vertical="center"/>
    </xf>
    <xf numFmtId="43" fontId="3" fillId="0" borderId="0" xfId="5" applyFont="1" applyFill="1" applyAlignment="1">
      <alignment horizontal="center" vertical="center"/>
    </xf>
    <xf numFmtId="10" fontId="3" fillId="0" borderId="0" xfId="4" applyNumberFormat="1" applyFont="1" applyFill="1" applyAlignment="1">
      <alignment horizontal="center" vertical="center"/>
    </xf>
    <xf numFmtId="164" fontId="3" fillId="0" borderId="0" xfId="6" applyNumberFormat="1" applyFont="1" applyAlignment="1">
      <alignment vertical="center"/>
    </xf>
    <xf numFmtId="43" fontId="3" fillId="0" borderId="0" xfId="5" applyFont="1" applyFill="1" applyAlignment="1">
      <alignment vertical="center"/>
    </xf>
    <xf numFmtId="164" fontId="4" fillId="0" borderId="0" xfId="6" applyNumberFormat="1" applyFont="1" applyAlignment="1">
      <alignment vertical="center"/>
    </xf>
    <xf numFmtId="164" fontId="4" fillId="0" borderId="0" xfId="6" applyNumberFormat="1" applyFont="1" applyAlignment="1">
      <alignment vertical="center" wrapText="1"/>
    </xf>
    <xf numFmtId="164" fontId="12" fillId="0" borderId="0" xfId="6" applyNumberFormat="1" applyFont="1" applyAlignment="1">
      <alignment vertical="center" wrapText="1"/>
    </xf>
    <xf numFmtId="164" fontId="13" fillId="0" borderId="0" xfId="6" applyNumberFormat="1" applyFont="1" applyAlignment="1">
      <alignment vertical="center" wrapText="1"/>
    </xf>
    <xf numFmtId="164" fontId="3" fillId="0" borderId="10" xfId="6" applyNumberFormat="1" applyFont="1" applyBorder="1" applyAlignment="1">
      <alignment vertical="center"/>
    </xf>
    <xf numFmtId="164" fontId="6" fillId="0" borderId="1" xfId="2" applyNumberFormat="1"/>
    <xf numFmtId="164" fontId="5" fillId="0" borderId="2" xfId="8" applyNumberFormat="1" applyFont="1" applyBorder="1" applyAlignment="1">
      <alignment horizontal="center" vertical="center"/>
    </xf>
    <xf numFmtId="43" fontId="5" fillId="0" borderId="2" xfId="1" applyFont="1" applyFill="1" applyBorder="1" applyAlignment="1">
      <alignment horizontal="center" vertical="center" wrapText="1"/>
    </xf>
    <xf numFmtId="164" fontId="3" fillId="0" borderId="0" xfId="8" applyNumberFormat="1" applyFont="1"/>
    <xf numFmtId="0" fontId="14" fillId="0" borderId="2" xfId="8" applyFont="1" applyBorder="1" applyAlignment="1">
      <alignment vertical="center"/>
    </xf>
    <xf numFmtId="4" fontId="5" fillId="0" borderId="2" xfId="8" applyNumberFormat="1" applyFont="1" applyBorder="1" applyAlignment="1">
      <alignment horizontal="center" vertical="center"/>
    </xf>
    <xf numFmtId="164" fontId="3" fillId="0" borderId="2" xfId="8" applyNumberFormat="1" applyFont="1" applyBorder="1" applyAlignment="1">
      <alignment vertical="center"/>
    </xf>
    <xf numFmtId="43" fontId="3" fillId="0" borderId="2" xfId="1" applyFont="1" applyFill="1" applyBorder="1" applyAlignment="1">
      <alignment horizontal="right"/>
    </xf>
    <xf numFmtId="0" fontId="5" fillId="0" borderId="2" xfId="8" applyFont="1" applyBorder="1" applyAlignment="1">
      <alignment vertical="center" wrapText="1"/>
    </xf>
    <xf numFmtId="0" fontId="3" fillId="0" borderId="2" xfId="8" applyFont="1" applyBorder="1" applyAlignment="1">
      <alignment horizontal="center" vertical="center"/>
    </xf>
    <xf numFmtId="0" fontId="3" fillId="0" borderId="2" xfId="8" applyFont="1" applyBorder="1" applyAlignment="1">
      <alignment vertical="center" wrapText="1"/>
    </xf>
    <xf numFmtId="43" fontId="16" fillId="0" borderId="2" xfId="1" applyFont="1" applyFill="1" applyBorder="1" applyAlignment="1">
      <alignment horizontal="right" vertical="center"/>
    </xf>
    <xf numFmtId="164" fontId="3" fillId="0" borderId="2" xfId="8" applyNumberFormat="1" applyFont="1" applyBorder="1" applyAlignment="1">
      <alignment vertical="center" wrapText="1"/>
    </xf>
    <xf numFmtId="164" fontId="3" fillId="0" borderId="2" xfId="8" applyNumberFormat="1" applyFont="1" applyBorder="1" applyAlignment="1">
      <alignment horizontal="center" vertical="center"/>
    </xf>
    <xf numFmtId="4" fontId="4" fillId="0" borderId="2" xfId="6" applyNumberFormat="1" applyFont="1" applyBorder="1" applyAlignment="1">
      <alignment horizontal="center" vertical="center" wrapText="1"/>
    </xf>
    <xf numFmtId="43" fontId="4" fillId="0" borderId="2" xfId="1" applyFont="1" applyFill="1" applyBorder="1" applyAlignment="1">
      <alignment horizontal="right" vertical="center"/>
    </xf>
    <xf numFmtId="165" fontId="4" fillId="0" borderId="2" xfId="5" applyNumberFormat="1" applyFont="1" applyFill="1" applyBorder="1" applyAlignment="1">
      <alignment horizontal="right" vertical="center"/>
    </xf>
    <xf numFmtId="10" fontId="4" fillId="0" borderId="2" xfId="4" applyNumberFormat="1" applyFont="1" applyFill="1" applyBorder="1" applyAlignment="1">
      <alignment horizontal="center" vertical="center"/>
    </xf>
    <xf numFmtId="164" fontId="2" fillId="0" borderId="0" xfId="8" applyNumberFormat="1"/>
    <xf numFmtId="164" fontId="3" fillId="0" borderId="10" xfId="8" applyNumberFormat="1" applyFont="1" applyBorder="1" applyAlignment="1">
      <alignment vertical="center"/>
    </xf>
    <xf numFmtId="164" fontId="3" fillId="0" borderId="0" xfId="8" applyNumberFormat="1" applyFont="1" applyAlignment="1">
      <alignment vertical="center" wrapText="1"/>
    </xf>
    <xf numFmtId="43" fontId="3" fillId="0" borderId="0" xfId="1" applyFont="1" applyFill="1" applyAlignment="1">
      <alignment vertical="center"/>
    </xf>
    <xf numFmtId="0" fontId="18" fillId="0" borderId="2" xfId="13" applyFont="1" applyBorder="1" applyAlignment="1">
      <alignment horizontal="center"/>
    </xf>
    <xf numFmtId="43" fontId="5" fillId="0" borderId="2" xfId="5" applyFont="1" applyFill="1" applyBorder="1" applyAlignment="1">
      <alignment horizontal="center" vertical="center" wrapText="1"/>
    </xf>
    <xf numFmtId="0" fontId="1" fillId="0" borderId="0" xfId="13"/>
    <xf numFmtId="0" fontId="5" fillId="0" borderId="2" xfId="13" applyFont="1" applyBorder="1" applyAlignment="1">
      <alignment horizontal="left" vertical="center" wrapText="1"/>
    </xf>
    <xf numFmtId="43" fontId="5" fillId="0" borderId="2" xfId="14" applyFont="1" applyFill="1" applyBorder="1" applyAlignment="1">
      <alignment horizontal="center" vertical="center" wrapText="1"/>
    </xf>
    <xf numFmtId="0" fontId="1" fillId="0" borderId="2" xfId="13" applyBorder="1"/>
    <xf numFmtId="164" fontId="3" fillId="0" borderId="2" xfId="6" applyNumberFormat="1" applyFont="1" applyBorder="1" applyAlignment="1">
      <alignment vertical="center" wrapText="1"/>
    </xf>
    <xf numFmtId="4" fontId="3" fillId="0" borderId="2" xfId="6" applyNumberFormat="1" applyFont="1" applyBorder="1" applyAlignment="1">
      <alignment horizontal="center" vertical="center"/>
    </xf>
    <xf numFmtId="43" fontId="3" fillId="0" borderId="2" xfId="14" applyFont="1" applyFill="1" applyBorder="1" applyAlignment="1" applyProtection="1">
      <alignment horizontal="right"/>
    </xf>
    <xf numFmtId="43" fontId="3" fillId="0" borderId="2" xfId="14" applyFont="1" applyFill="1" applyBorder="1"/>
    <xf numFmtId="43" fontId="19" fillId="0" borderId="2" xfId="14" applyFont="1" applyFill="1" applyBorder="1"/>
    <xf numFmtId="43" fontId="18" fillId="0" borderId="2" xfId="14" applyFont="1" applyFill="1" applyBorder="1"/>
    <xf numFmtId="43" fontId="18" fillId="0" borderId="2" xfId="14" applyFont="1" applyFill="1" applyBorder="1" applyAlignment="1">
      <alignment horizontal="right" vertical="center"/>
    </xf>
    <xf numFmtId="43" fontId="20" fillId="0" borderId="2" xfId="14" applyFont="1" applyFill="1" applyBorder="1" applyAlignment="1" applyProtection="1">
      <alignment horizontal="right" vertical="center"/>
    </xf>
    <xf numFmtId="164" fontId="5" fillId="0" borderId="2" xfId="6" applyNumberFormat="1" applyFont="1" applyBorder="1" applyAlignment="1">
      <alignment vertical="center" wrapText="1"/>
    </xf>
    <xf numFmtId="0" fontId="18" fillId="0" borderId="0" xfId="13" applyFont="1" applyAlignment="1">
      <alignment horizontal="center"/>
    </xf>
    <xf numFmtId="43" fontId="0" fillId="0" borderId="0" xfId="14" applyFont="1" applyFill="1"/>
    <xf numFmtId="0" fontId="0" fillId="0" borderId="0" xfId="14" applyNumberFormat="1" applyFont="1" applyFill="1"/>
    <xf numFmtId="0" fontId="18" fillId="0" borderId="0" xfId="13" applyFont="1"/>
    <xf numFmtId="165" fontId="3" fillId="0" borderId="0" xfId="5" applyNumberFormat="1" applyFont="1" applyFill="1" applyBorder="1" applyAlignment="1">
      <alignment horizontal="right" vertical="center"/>
    </xf>
    <xf numFmtId="164" fontId="5" fillId="0" borderId="14" xfId="8" applyNumberFormat="1" applyFont="1" applyBorder="1" applyAlignment="1">
      <alignment horizontal="center" vertical="center"/>
    </xf>
    <xf numFmtId="164" fontId="3" fillId="0" borderId="2" xfId="6" applyNumberFormat="1" applyFont="1" applyBorder="1" applyAlignment="1">
      <alignment vertical="center"/>
    </xf>
    <xf numFmtId="0" fontId="14" fillId="0" borderId="2" xfId="6" applyFont="1" applyBorder="1" applyAlignment="1">
      <alignment vertical="center" wrapText="1"/>
    </xf>
    <xf numFmtId="43" fontId="3" fillId="0" borderId="2" xfId="5" applyFont="1" applyFill="1" applyBorder="1" applyAlignment="1">
      <alignment horizontal="right"/>
    </xf>
    <xf numFmtId="43" fontId="4" fillId="0" borderId="2" xfId="5" applyFont="1" applyFill="1" applyBorder="1" applyAlignment="1">
      <alignment vertical="center"/>
    </xf>
    <xf numFmtId="43" fontId="3" fillId="0" borderId="2" xfId="5" applyFont="1" applyFill="1" applyBorder="1" applyAlignment="1">
      <alignment vertical="center"/>
    </xf>
    <xf numFmtId="164" fontId="3" fillId="0" borderId="0" xfId="6" applyNumberFormat="1" applyFont="1" applyAlignment="1">
      <alignment horizontal="center" vertical="center" wrapText="1"/>
    </xf>
    <xf numFmtId="0" fontId="2" fillId="0" borderId="2" xfId="3" applyBorder="1"/>
    <xf numFmtId="0" fontId="3" fillId="0" borderId="2" xfId="3" applyFont="1" applyBorder="1" applyAlignment="1">
      <alignment vertical="center" wrapText="1"/>
    </xf>
    <xf numFmtId="164" fontId="3" fillId="0" borderId="2" xfId="3" applyNumberFormat="1" applyFont="1" applyBorder="1"/>
    <xf numFmtId="0" fontId="5" fillId="0" borderId="2" xfId="3" applyFont="1" applyBorder="1" applyAlignment="1">
      <alignment vertical="center" wrapText="1"/>
    </xf>
    <xf numFmtId="43" fontId="3" fillId="0" borderId="2" xfId="11" applyNumberFormat="1" applyFont="1" applyBorder="1" applyAlignment="1">
      <alignment horizontal="right" vertical="center"/>
    </xf>
    <xf numFmtId="43" fontId="3" fillId="0" borderId="2" xfId="1" applyFont="1" applyFill="1" applyBorder="1" applyAlignment="1">
      <alignment horizontal="center" vertical="center"/>
    </xf>
    <xf numFmtId="164" fontId="4" fillId="0" borderId="2" xfId="3" applyNumberFormat="1" applyFont="1" applyBorder="1" applyAlignment="1">
      <alignment horizontal="center" vertical="center"/>
    </xf>
    <xf numFmtId="43" fontId="4" fillId="0" borderId="2" xfId="1" applyFont="1" applyFill="1" applyBorder="1" applyAlignment="1">
      <alignment vertical="center"/>
    </xf>
    <xf numFmtId="43" fontId="4" fillId="0" borderId="2" xfId="1" applyFont="1" applyFill="1" applyBorder="1" applyAlignment="1">
      <alignment horizontal="center" vertical="center"/>
    </xf>
    <xf numFmtId="4" fontId="4" fillId="0" borderId="2" xfId="5" applyNumberFormat="1" applyFont="1" applyFill="1" applyBorder="1" applyAlignment="1">
      <alignment horizontal="right" vertical="center"/>
    </xf>
    <xf numFmtId="0" fontId="3" fillId="0" borderId="0" xfId="3" applyFont="1" applyAlignment="1">
      <alignment vertical="center" wrapText="1"/>
    </xf>
    <xf numFmtId="0" fontId="2" fillId="0" borderId="0" xfId="3"/>
    <xf numFmtId="0" fontId="6" fillId="0" borderId="1" xfId="2"/>
    <xf numFmtId="164" fontId="5" fillId="0" borderId="13" xfId="8" applyNumberFormat="1" applyFont="1" applyBorder="1" applyAlignment="1">
      <alignment horizontal="center" vertical="center"/>
    </xf>
    <xf numFmtId="44" fontId="3" fillId="0" borderId="2" xfId="15" applyFont="1" applyFill="1" applyBorder="1" applyAlignment="1">
      <alignment vertical="center"/>
    </xf>
    <xf numFmtId="4" fontId="3" fillId="0" borderId="2" xfId="8" applyNumberFormat="1" applyFont="1" applyBorder="1" applyAlignment="1">
      <alignment vertical="center"/>
    </xf>
    <xf numFmtId="0" fontId="2" fillId="0" borderId="0" xfId="8"/>
    <xf numFmtId="167" fontId="3" fillId="0" borderId="2" xfId="15" applyNumberFormat="1" applyFont="1" applyFill="1" applyBorder="1" applyAlignment="1">
      <alignment vertical="center"/>
    </xf>
    <xf numFmtId="167" fontId="3" fillId="0" borderId="2" xfId="8" applyNumberFormat="1" applyFont="1" applyBorder="1" applyAlignment="1">
      <alignment vertical="center"/>
    </xf>
    <xf numFmtId="0" fontId="3" fillId="0" borderId="0" xfId="8" applyFont="1"/>
    <xf numFmtId="6" fontId="3" fillId="0" borderId="0" xfId="8" applyNumberFormat="1" applyFont="1"/>
    <xf numFmtId="0" fontId="2" fillId="0" borderId="0" xfId="8" applyAlignment="1">
      <alignment horizontal="center"/>
    </xf>
    <xf numFmtId="164" fontId="5" fillId="0" borderId="14" xfId="6" applyNumberFormat="1" applyFont="1" applyBorder="1" applyAlignment="1">
      <alignment horizontal="center" vertical="center" wrapText="1"/>
    </xf>
    <xf numFmtId="0" fontId="14" fillId="0" borderId="2" xfId="6" applyFont="1" applyBorder="1" applyAlignment="1">
      <alignment horizontal="center" vertical="center"/>
    </xf>
    <xf numFmtId="0" fontId="3" fillId="0" borderId="5" xfId="6" applyFont="1" applyBorder="1" applyAlignment="1">
      <alignment vertical="center" wrapText="1"/>
    </xf>
    <xf numFmtId="0" fontId="3" fillId="0" borderId="2" xfId="6" applyFont="1" applyBorder="1" applyAlignment="1">
      <alignment wrapText="1"/>
    </xf>
    <xf numFmtId="0" fontId="3" fillId="0" borderId="2" xfId="6" applyFont="1" applyBorder="1" applyAlignment="1">
      <alignment vertical="top" wrapText="1"/>
    </xf>
    <xf numFmtId="9" fontId="3" fillId="0" borderId="2" xfId="5" applyNumberFormat="1" applyFont="1" applyFill="1" applyBorder="1" applyAlignment="1">
      <alignment horizontal="right" vertical="center"/>
    </xf>
    <xf numFmtId="0" fontId="8" fillId="0" borderId="7" xfId="10" applyFill="1" applyAlignment="1">
      <alignment wrapText="1"/>
    </xf>
    <xf numFmtId="164" fontId="3" fillId="0" borderId="2" xfId="6" applyNumberFormat="1" applyFont="1" applyBorder="1" applyAlignment="1">
      <alignment horizontal="center" vertical="center"/>
    </xf>
    <xf numFmtId="2" fontId="3" fillId="0" borderId="2" xfId="4" applyNumberFormat="1" applyFont="1" applyFill="1" applyBorder="1" applyAlignment="1">
      <alignment horizontal="center" vertical="center"/>
    </xf>
    <xf numFmtId="0" fontId="3" fillId="0" borderId="6" xfId="6" applyFont="1" applyBorder="1" applyAlignment="1">
      <alignment vertical="top" wrapText="1"/>
    </xf>
    <xf numFmtId="0" fontId="3" fillId="0" borderId="2" xfId="6" applyFont="1" applyBorder="1" applyAlignment="1">
      <alignment horizontal="left" wrapText="1"/>
    </xf>
    <xf numFmtId="0" fontId="3" fillId="0" borderId="2" xfId="11" applyFont="1" applyBorder="1" applyAlignment="1">
      <alignment wrapText="1"/>
    </xf>
    <xf numFmtId="10" fontId="3" fillId="0" borderId="2" xfId="4" applyNumberFormat="1" applyFont="1" applyFill="1" applyBorder="1" applyAlignment="1">
      <alignment horizontal="center"/>
    </xf>
    <xf numFmtId="164" fontId="25" fillId="0" borderId="0" xfId="6" applyNumberFormat="1" applyFont="1"/>
    <xf numFmtId="0" fontId="3" fillId="0" borderId="2" xfId="6" applyFont="1" applyBorder="1" applyAlignment="1">
      <alignment horizontal="left" vertical="top" wrapText="1"/>
    </xf>
    <xf numFmtId="0" fontId="2" fillId="0" borderId="2" xfId="11" applyFont="1" applyBorder="1" applyAlignment="1">
      <alignment horizontal="center" vertical="center"/>
    </xf>
    <xf numFmtId="0" fontId="5" fillId="0" borderId="2" xfId="6" applyFont="1" applyBorder="1" applyAlignment="1">
      <alignment wrapText="1"/>
    </xf>
    <xf numFmtId="43" fontId="3" fillId="0" borderId="2" xfId="5" applyFont="1" applyFill="1" applyBorder="1" applyAlignment="1">
      <alignment horizontal="right" vertical="center" wrapText="1"/>
    </xf>
    <xf numFmtId="164" fontId="3" fillId="0" borderId="0" xfId="6" applyNumberFormat="1" applyFont="1" applyAlignment="1">
      <alignment wrapText="1"/>
    </xf>
    <xf numFmtId="0" fontId="26" fillId="0" borderId="2" xfId="6" applyFont="1" applyBorder="1" applyAlignment="1">
      <alignment vertical="top" wrapText="1"/>
    </xf>
    <xf numFmtId="43" fontId="3" fillId="0" borderId="2" xfId="5" applyFont="1" applyFill="1" applyBorder="1" applyAlignment="1">
      <alignment horizontal="center" vertical="center" wrapText="1"/>
    </xf>
    <xf numFmtId="164" fontId="25" fillId="0" borderId="2" xfId="6" applyNumberFormat="1" applyFont="1" applyBorder="1" applyAlignment="1">
      <alignment horizontal="center" vertical="center"/>
    </xf>
    <xf numFmtId="43" fontId="3" fillId="0" borderId="2" xfId="5" applyFont="1" applyFill="1" applyBorder="1" applyAlignment="1">
      <alignment horizontal="center" vertical="center"/>
    </xf>
    <xf numFmtId="43" fontId="3" fillId="0" borderId="5" xfId="5" applyFont="1" applyFill="1" applyBorder="1" applyAlignment="1">
      <alignment horizontal="right" vertical="center"/>
    </xf>
    <xf numFmtId="0" fontId="5" fillId="0" borderId="2" xfId="6" applyFont="1" applyBorder="1" applyAlignment="1">
      <alignment horizontal="left" vertical="top" wrapText="1"/>
    </xf>
    <xf numFmtId="49" fontId="3" fillId="0" borderId="0" xfId="6" applyNumberFormat="1" applyFont="1" applyAlignment="1">
      <alignment wrapText="1"/>
    </xf>
    <xf numFmtId="43" fontId="3" fillId="0" borderId="5" xfId="5" applyFont="1" applyFill="1" applyBorder="1" applyAlignment="1">
      <alignment horizontal="center" vertical="center"/>
    </xf>
    <xf numFmtId="0" fontId="2" fillId="0" borderId="4" xfId="11" applyFont="1" applyBorder="1" applyAlignment="1">
      <alignment horizontal="center" vertical="center"/>
    </xf>
    <xf numFmtId="0" fontId="2" fillId="0" borderId="3" xfId="11" applyFont="1" applyBorder="1" applyAlignment="1">
      <alignment horizontal="center" vertical="center"/>
    </xf>
    <xf numFmtId="49" fontId="2" fillId="0" borderId="2" xfId="6" applyNumberFormat="1" applyBorder="1" applyAlignment="1">
      <alignment horizontal="center" vertical="center"/>
    </xf>
    <xf numFmtId="164" fontId="3" fillId="0" borderId="0" xfId="6" applyNumberFormat="1" applyFont="1" applyAlignment="1">
      <alignment horizontal="center" vertical="center"/>
    </xf>
    <xf numFmtId="164" fontId="4" fillId="0" borderId="0" xfId="6" applyNumberFormat="1" applyFont="1" applyAlignment="1">
      <alignment horizontal="center" vertical="center"/>
    </xf>
    <xf numFmtId="164" fontId="3" fillId="0" borderId="10" xfId="6" applyNumberFormat="1" applyFont="1" applyBorder="1" applyAlignment="1">
      <alignment horizontal="center" vertical="center"/>
    </xf>
    <xf numFmtId="0" fontId="14" fillId="0" borderId="2" xfId="6" applyFont="1" applyBorder="1" applyAlignment="1">
      <alignment vertical="center"/>
    </xf>
    <xf numFmtId="10" fontId="3" fillId="0" borderId="2" xfId="4" applyNumberFormat="1" applyFont="1" applyFill="1" applyBorder="1" applyAlignment="1">
      <alignment horizontal="right" vertical="center"/>
    </xf>
    <xf numFmtId="43" fontId="3" fillId="0" borderId="2" xfId="1" applyFont="1" applyFill="1" applyBorder="1" applyAlignment="1">
      <alignment horizontal="center"/>
    </xf>
    <xf numFmtId="0" fontId="3" fillId="0" borderId="2" xfId="6" applyFont="1" applyBorder="1"/>
    <xf numFmtId="43" fontId="3" fillId="0" borderId="5" xfId="1" applyFont="1" applyFill="1" applyBorder="1" applyAlignment="1">
      <alignment horizontal="right" vertical="center"/>
    </xf>
    <xf numFmtId="43" fontId="3" fillId="0" borderId="3" xfId="1" applyFont="1" applyFill="1" applyBorder="1" applyAlignment="1">
      <alignment horizontal="right" vertical="center"/>
    </xf>
    <xf numFmtId="43" fontId="28" fillId="0" borderId="5" xfId="1" applyFont="1" applyFill="1" applyBorder="1" applyAlignment="1">
      <alignment vertical="center" wrapText="1"/>
    </xf>
    <xf numFmtId="43" fontId="28" fillId="0" borderId="5" xfId="1" applyFont="1" applyFill="1" applyBorder="1" applyAlignment="1">
      <alignment horizontal="center" vertical="center" wrapText="1"/>
    </xf>
    <xf numFmtId="43" fontId="28" fillId="0" borderId="3" xfId="1" applyFont="1" applyFill="1" applyBorder="1" applyAlignment="1">
      <alignment vertical="center" wrapText="1"/>
    </xf>
    <xf numFmtId="43" fontId="3" fillId="0" borderId="0" xfId="1" applyFont="1" applyFill="1" applyAlignment="1">
      <alignment horizontal="center"/>
    </xf>
    <xf numFmtId="0" fontId="3" fillId="0" borderId="2" xfId="8" applyFont="1" applyBorder="1" applyAlignment="1">
      <alignment horizontal="left" vertical="center" wrapText="1"/>
    </xf>
    <xf numFmtId="164" fontId="29" fillId="0" borderId="0" xfId="6" applyNumberFormat="1" applyFont="1" applyAlignment="1">
      <alignment vertical="center" wrapText="1"/>
    </xf>
    <xf numFmtId="43" fontId="3" fillId="0" borderId="0" xfId="1" applyFont="1" applyFill="1" applyAlignment="1">
      <alignment horizontal="center" vertical="center"/>
    </xf>
    <xf numFmtId="0" fontId="14" fillId="0" borderId="2" xfId="7" applyFont="1" applyBorder="1" applyAlignment="1">
      <alignment vertical="center"/>
    </xf>
    <xf numFmtId="164" fontId="3" fillId="0" borderId="2" xfId="7" applyNumberFormat="1" applyFont="1" applyBorder="1" applyAlignment="1">
      <alignment vertical="center" wrapText="1"/>
    </xf>
    <xf numFmtId="164" fontId="3" fillId="0" borderId="0" xfId="7" applyNumberFormat="1" applyFont="1"/>
    <xf numFmtId="0" fontId="2" fillId="0" borderId="0" xfId="7"/>
    <xf numFmtId="164" fontId="3" fillId="0" borderId="10" xfId="7" applyNumberFormat="1" applyFont="1" applyBorder="1" applyAlignment="1">
      <alignment vertical="center"/>
    </xf>
    <xf numFmtId="0" fontId="14" fillId="0" borderId="2" xfId="7" applyFont="1" applyBorder="1" applyAlignment="1">
      <alignment vertical="center" wrapText="1"/>
    </xf>
    <xf numFmtId="0" fontId="3" fillId="0" borderId="5" xfId="6" applyFont="1" applyBorder="1" applyAlignment="1">
      <alignment horizontal="center" vertical="center" wrapText="1"/>
    </xf>
    <xf numFmtId="164" fontId="3" fillId="0" borderId="2" xfId="7" applyNumberFormat="1" applyFont="1" applyBorder="1" applyAlignment="1">
      <alignment horizontal="right"/>
    </xf>
    <xf numFmtId="2" fontId="3" fillId="0" borderId="2" xfId="7" applyNumberFormat="1" applyFont="1" applyBorder="1" applyAlignment="1">
      <alignment horizontal="right"/>
    </xf>
    <xf numFmtId="4" fontId="3" fillId="0" borderId="2" xfId="6" applyNumberFormat="1" applyFont="1" applyBorder="1" applyAlignment="1">
      <alignment horizontal="center" wrapText="1"/>
    </xf>
    <xf numFmtId="0" fontId="3" fillId="0" borderId="2" xfId="7" applyFont="1" applyBorder="1" applyAlignment="1">
      <alignment horizontal="center" vertical="center"/>
    </xf>
    <xf numFmtId="0" fontId="3" fillId="0" borderId="2" xfId="7" applyFont="1" applyBorder="1"/>
    <xf numFmtId="165" fontId="3" fillId="0" borderId="2" xfId="5" applyNumberFormat="1" applyFont="1" applyFill="1" applyBorder="1" applyAlignment="1">
      <alignment horizontal="right"/>
    </xf>
    <xf numFmtId="164" fontId="3" fillId="0" borderId="2" xfId="7" applyNumberFormat="1" applyFont="1" applyBorder="1" applyAlignment="1">
      <alignment horizontal="center" vertical="center"/>
    </xf>
    <xf numFmtId="43" fontId="3" fillId="0" borderId="2" xfId="1" applyFont="1" applyFill="1" applyBorder="1" applyAlignment="1"/>
    <xf numFmtId="164" fontId="3" fillId="0" borderId="2" xfId="7" applyNumberFormat="1" applyFont="1" applyBorder="1" applyAlignment="1">
      <alignment wrapText="1"/>
    </xf>
    <xf numFmtId="4" fontId="3" fillId="0" borderId="2" xfId="5" applyNumberFormat="1" applyFont="1" applyFill="1" applyBorder="1" applyAlignment="1">
      <alignment horizontal="right"/>
    </xf>
    <xf numFmtId="164" fontId="3" fillId="0" borderId="2" xfId="7" applyNumberFormat="1" applyFont="1" applyBorder="1" applyAlignment="1">
      <alignment vertical="center"/>
    </xf>
    <xf numFmtId="43" fontId="3" fillId="0" borderId="5" xfId="1" applyFont="1" applyFill="1" applyBorder="1" applyAlignment="1"/>
    <xf numFmtId="43" fontId="3" fillId="0" borderId="4" xfId="1" applyFont="1" applyFill="1" applyBorder="1" applyAlignment="1"/>
    <xf numFmtId="43" fontId="3" fillId="0" borderId="3" xfId="1" applyFont="1" applyFill="1" applyBorder="1" applyAlignment="1"/>
    <xf numFmtId="164" fontId="3" fillId="0" borderId="0" xfId="7" applyNumberFormat="1" applyFont="1" applyAlignment="1">
      <alignment vertical="center"/>
    </xf>
    <xf numFmtId="164" fontId="3" fillId="0" borderId="0" xfId="7" applyNumberFormat="1" applyFont="1" applyAlignment="1">
      <alignment vertical="center" wrapText="1"/>
    </xf>
    <xf numFmtId="164" fontId="3" fillId="0" borderId="0" xfId="7" applyNumberFormat="1" applyFont="1" applyAlignment="1">
      <alignment horizontal="center" vertical="center" wrapText="1"/>
    </xf>
    <xf numFmtId="4" fontId="3" fillId="0" borderId="0" xfId="7" applyNumberFormat="1" applyFont="1" applyAlignment="1">
      <alignment vertical="center"/>
    </xf>
    <xf numFmtId="0" fontId="30" fillId="0" borderId="0" xfId="8" applyFont="1" applyAlignment="1">
      <alignment horizontal="center" vertical="center"/>
    </xf>
    <xf numFmtId="0" fontId="6" fillId="0" borderId="1" xfId="2" applyFill="1" applyAlignment="1">
      <alignment vertical="center"/>
    </xf>
    <xf numFmtId="0" fontId="6" fillId="0" borderId="1" xfId="2" applyFill="1"/>
    <xf numFmtId="0" fontId="2" fillId="0" borderId="0" xfId="8" applyAlignment="1">
      <alignment horizontal="justify"/>
    </xf>
    <xf numFmtId="0" fontId="5" fillId="0" borderId="0" xfId="8" applyFont="1" applyAlignment="1">
      <alignment vertical="center"/>
    </xf>
    <xf numFmtId="0" fontId="8" fillId="0" borderId="7" xfId="10" applyFill="1"/>
    <xf numFmtId="0" fontId="15" fillId="0" borderId="8" xfId="12" applyFill="1"/>
    <xf numFmtId="0" fontId="2" fillId="0" borderId="0" xfId="8" applyAlignment="1">
      <alignment vertical="center"/>
    </xf>
    <xf numFmtId="0" fontId="2" fillId="0" borderId="0" xfId="8" applyAlignment="1">
      <alignment horizontal="justify" vertical="center"/>
    </xf>
    <xf numFmtId="0" fontId="31" fillId="0" borderId="0" xfId="8" applyFont="1"/>
    <xf numFmtId="0" fontId="2" fillId="0" borderId="0" xfId="8" applyAlignment="1">
      <alignment horizontal="left" vertical="center" wrapText="1"/>
    </xf>
    <xf numFmtId="0" fontId="32" fillId="0" borderId="21" xfId="8" applyFont="1" applyBorder="1" applyAlignment="1">
      <alignment vertical="center" wrapText="1"/>
    </xf>
    <xf numFmtId="0" fontId="15" fillId="0" borderId="8" xfId="12" applyFill="1" applyAlignment="1">
      <alignment vertical="center" wrapText="1"/>
    </xf>
    <xf numFmtId="0" fontId="32" fillId="0" borderId="0" xfId="8" applyFont="1" applyAlignment="1">
      <alignment horizontal="left" vertical="center" wrapText="1"/>
    </xf>
    <xf numFmtId="6" fontId="32" fillId="0" borderId="0" xfId="8" applyNumberFormat="1" applyFont="1" applyAlignment="1">
      <alignment horizontal="center" vertical="center" wrapText="1"/>
    </xf>
    <xf numFmtId="0" fontId="7" fillId="0" borderId="0" xfId="9" applyFill="1"/>
    <xf numFmtId="0" fontId="32" fillId="0" borderId="0" xfId="8" applyFont="1" applyAlignment="1">
      <alignment horizontal="center" vertical="center" wrapText="1"/>
    </xf>
    <xf numFmtId="0" fontId="32" fillId="0" borderId="18" xfId="8" applyFont="1" applyBorder="1" applyAlignment="1">
      <alignment horizontal="left" vertical="center" wrapText="1"/>
    </xf>
    <xf numFmtId="0" fontId="32" fillId="0" borderId="19" xfId="8" applyFont="1" applyBorder="1" applyAlignment="1">
      <alignment horizontal="left" vertical="center" wrapText="1"/>
    </xf>
    <xf numFmtId="0" fontId="32" fillId="0" borderId="20" xfId="8" applyFont="1" applyBorder="1" applyAlignment="1">
      <alignment horizontal="left" vertical="center" wrapText="1"/>
    </xf>
    <xf numFmtId="0" fontId="32" fillId="0" borderId="0" xfId="8" applyFont="1" applyAlignment="1">
      <alignment vertical="center" wrapText="1"/>
    </xf>
    <xf numFmtId="0" fontId="15" fillId="0" borderId="8" xfId="12" applyFill="1" applyAlignment="1">
      <alignment horizontal="right" vertical="center" wrapText="1"/>
    </xf>
    <xf numFmtId="0" fontId="2" fillId="0" borderId="21" xfId="8" applyBorder="1" applyAlignment="1">
      <alignment horizontal="left" vertical="center" wrapText="1"/>
    </xf>
    <xf numFmtId="8" fontId="2" fillId="0" borderId="21" xfId="8" applyNumberFormat="1" applyBorder="1" applyAlignment="1">
      <alignment horizontal="right" vertical="center" wrapText="1"/>
    </xf>
    <xf numFmtId="0" fontId="8" fillId="2" borderId="7" xfId="10" applyFill="1"/>
    <xf numFmtId="0" fontId="33" fillId="0" borderId="0" xfId="16" applyAlignment="1">
      <alignment vertical="center"/>
    </xf>
    <xf numFmtId="0" fontId="33" fillId="0" borderId="0" xfId="16"/>
    <xf numFmtId="0" fontId="2" fillId="0" borderId="2" xfId="8" applyBorder="1"/>
    <xf numFmtId="0" fontId="33" fillId="0" borderId="2" xfId="16" applyBorder="1"/>
    <xf numFmtId="0" fontId="34" fillId="0" borderId="0" xfId="16" applyFont="1" applyAlignment="1">
      <alignment vertical="center"/>
    </xf>
    <xf numFmtId="167" fontId="3" fillId="0" borderId="2" xfId="15" applyNumberFormat="1" applyFont="1" applyFill="1" applyBorder="1" applyAlignment="1" applyProtection="1">
      <alignment vertical="center"/>
      <protection locked="0"/>
    </xf>
    <xf numFmtId="43" fontId="3" fillId="0" borderId="2" xfId="1" applyFont="1" applyFill="1" applyBorder="1" applyAlignment="1" applyProtection="1">
      <alignment horizontal="right" vertical="center"/>
      <protection locked="0"/>
    </xf>
    <xf numFmtId="0" fontId="3" fillId="0" borderId="2" xfId="8" applyFont="1" applyBorder="1"/>
    <xf numFmtId="0" fontId="3" fillId="0" borderId="2" xfId="8" applyFont="1" applyBorder="1" applyAlignment="1">
      <alignment horizontal="center"/>
    </xf>
    <xf numFmtId="43" fontId="3" fillId="0" borderId="0" xfId="5" applyFont="1" applyFill="1" applyBorder="1"/>
    <xf numFmtId="0" fontId="3" fillId="0" borderId="0" xfId="8" applyFont="1" applyAlignment="1">
      <alignment horizontal="right"/>
    </xf>
    <xf numFmtId="0" fontId="14" fillId="0" borderId="5" xfId="6" applyFont="1" applyBorder="1" applyAlignment="1">
      <alignment vertical="center"/>
    </xf>
    <xf numFmtId="0" fontId="5" fillId="0" borderId="2" xfId="6" applyFont="1" applyBorder="1" applyAlignment="1">
      <alignment vertical="center" wrapText="1"/>
    </xf>
    <xf numFmtId="0" fontId="3" fillId="0" borderId="5" xfId="6" applyFont="1" applyBorder="1" applyAlignment="1">
      <alignment horizontal="center" vertical="center"/>
    </xf>
    <xf numFmtId="0" fontId="3" fillId="0" borderId="2" xfId="6" applyFont="1" applyBorder="1" applyAlignment="1">
      <alignment vertical="center"/>
    </xf>
    <xf numFmtId="43" fontId="2" fillId="0" borderId="2" xfId="1" applyFont="1" applyFill="1" applyBorder="1"/>
    <xf numFmtId="43" fontId="3" fillId="0" borderId="2" xfId="1" applyFont="1" applyFill="1" applyBorder="1" applyAlignment="1">
      <alignment horizontal="right" vertical="center" wrapText="1"/>
    </xf>
    <xf numFmtId="0" fontId="37" fillId="0" borderId="2" xfId="17" applyFont="1" applyFill="1" applyBorder="1" applyAlignment="1" applyProtection="1">
      <alignment horizontal="left" vertical="center"/>
    </xf>
    <xf numFmtId="43" fontId="3" fillId="0" borderId="6" xfId="1" applyFont="1" applyFill="1" applyBorder="1" applyAlignment="1">
      <alignment vertical="center"/>
    </xf>
    <xf numFmtId="43" fontId="3" fillId="0" borderId="6" xfId="1" applyFont="1" applyFill="1" applyBorder="1" applyAlignment="1">
      <alignment horizontal="right" vertical="center"/>
    </xf>
    <xf numFmtId="4" fontId="3" fillId="0" borderId="0" xfId="6" applyNumberFormat="1" applyFont="1" applyAlignment="1">
      <alignment vertical="center"/>
    </xf>
    <xf numFmtId="0" fontId="5" fillId="0" borderId="13" xfId="3" applyFont="1" applyBorder="1" applyAlignment="1">
      <alignment horizontal="center" vertical="center"/>
    </xf>
    <xf numFmtId="0" fontId="3" fillId="0" borderId="6" xfId="3" applyFont="1" applyBorder="1" applyAlignment="1">
      <alignment horizontal="center"/>
    </xf>
    <xf numFmtId="4" fontId="5" fillId="0" borderId="2" xfId="18" applyNumberFormat="1" applyFont="1" applyBorder="1" applyAlignment="1">
      <alignment horizontal="center" vertical="center" wrapText="1"/>
    </xf>
    <xf numFmtId="0" fontId="3" fillId="0" borderId="0" xfId="3" applyFont="1"/>
    <xf numFmtId="0" fontId="3" fillId="0" borderId="10" xfId="3" applyFont="1" applyBorder="1" applyAlignment="1">
      <alignment vertical="center"/>
    </xf>
    <xf numFmtId="43" fontId="4" fillId="0" borderId="2" xfId="5" applyFont="1" applyFill="1" applyBorder="1" applyAlignment="1">
      <alignment horizontal="right"/>
    </xf>
    <xf numFmtId="43" fontId="18" fillId="0" borderId="2" xfId="5" applyFont="1" applyFill="1" applyBorder="1" applyAlignment="1">
      <alignment horizontal="right"/>
    </xf>
    <xf numFmtId="4" fontId="18" fillId="0" borderId="2" xfId="5" applyNumberFormat="1" applyFont="1" applyFill="1" applyBorder="1" applyAlignment="1">
      <alignment horizontal="right" vertical="center"/>
    </xf>
    <xf numFmtId="10" fontId="18" fillId="0" borderId="2" xfId="4" applyNumberFormat="1" applyFont="1" applyFill="1" applyBorder="1" applyAlignment="1">
      <alignment horizontal="center" vertical="center"/>
    </xf>
    <xf numFmtId="10" fontId="3" fillId="0" borderId="2" xfId="4" applyNumberFormat="1" applyFont="1" applyFill="1" applyBorder="1" applyAlignment="1">
      <alignment horizontal="right"/>
    </xf>
    <xf numFmtId="164" fontId="3" fillId="0" borderId="2" xfId="8" applyNumberFormat="1" applyFont="1" applyBorder="1"/>
    <xf numFmtId="165" fontId="3" fillId="0" borderId="6" xfId="5" applyNumberFormat="1" applyFont="1" applyFill="1" applyBorder="1" applyAlignment="1">
      <alignment horizontal="right" vertical="center"/>
    </xf>
    <xf numFmtId="43" fontId="3" fillId="0" borderId="2" xfId="5" applyFont="1" applyFill="1" applyBorder="1"/>
    <xf numFmtId="0" fontId="39" fillId="0" borderId="7" xfId="23" applyFill="1" applyAlignment="1">
      <alignment vertical="top" wrapText="1"/>
    </xf>
    <xf numFmtId="164" fontId="39" fillId="0" borderId="7" xfId="23" applyNumberFormat="1" applyAlignment="1">
      <alignment vertical="center" wrapText="1"/>
    </xf>
    <xf numFmtId="0" fontId="39" fillId="0" borderId="7" xfId="23" applyAlignment="1">
      <alignment vertical="center" wrapText="1"/>
    </xf>
    <xf numFmtId="0" fontId="8" fillId="0" borderId="8" xfId="24" applyAlignment="1">
      <alignment vertical="center" wrapText="1"/>
    </xf>
    <xf numFmtId="164" fontId="8" fillId="0" borderId="8" xfId="24" applyNumberFormat="1" applyAlignment="1">
      <alignment vertical="center" wrapText="1"/>
    </xf>
    <xf numFmtId="164" fontId="8" fillId="0" borderId="8" xfId="24" applyNumberFormat="1" applyFill="1" applyAlignment="1">
      <alignment vertical="center" wrapText="1"/>
    </xf>
    <xf numFmtId="0" fontId="6" fillId="0" borderId="1" xfId="2" applyAlignment="1">
      <alignment horizontal="center"/>
    </xf>
    <xf numFmtId="0" fontId="39" fillId="0" borderId="7" xfId="23" applyAlignment="1">
      <alignment horizontal="left" vertical="center" wrapText="1"/>
    </xf>
    <xf numFmtId="0" fontId="8" fillId="0" borderId="8" xfId="24" applyAlignment="1">
      <alignment horizontal="center" vertical="center" wrapText="1"/>
    </xf>
    <xf numFmtId="164" fontId="8" fillId="2" borderId="8" xfId="24" applyNumberFormat="1" applyFill="1" applyAlignment="1">
      <alignment vertical="center" wrapText="1"/>
    </xf>
    <xf numFmtId="164" fontId="39" fillId="0" borderId="7" xfId="23" applyNumberFormat="1" applyFill="1" applyAlignment="1">
      <alignment vertical="center" wrapText="1"/>
    </xf>
    <xf numFmtId="0" fontId="39" fillId="0" borderId="7" xfId="23" applyAlignment="1">
      <alignment vertical="top" wrapText="1"/>
    </xf>
    <xf numFmtId="0" fontId="8" fillId="0" borderId="8" xfId="24" applyFill="1" applyAlignment="1">
      <alignment vertical="top" wrapText="1"/>
    </xf>
    <xf numFmtId="0" fontId="39" fillId="0" borderId="7" xfId="23" applyFill="1" applyAlignment="1">
      <alignment wrapText="1"/>
    </xf>
    <xf numFmtId="0" fontId="39" fillId="0" borderId="7" xfId="23" applyFill="1" applyAlignment="1">
      <alignment horizontal="left" wrapText="1"/>
    </xf>
    <xf numFmtId="0" fontId="8" fillId="0" borderId="8" xfId="24" applyFill="1" applyAlignment="1">
      <alignment horizontal="left" vertical="top" wrapText="1"/>
    </xf>
    <xf numFmtId="0" fontId="39" fillId="0" borderId="7" xfId="23" applyFill="1" applyAlignment="1">
      <alignment horizontal="left" vertical="top" wrapText="1"/>
    </xf>
    <xf numFmtId="0" fontId="8" fillId="0" borderId="8" xfId="24" applyFill="1" applyAlignment="1">
      <alignment wrapText="1"/>
    </xf>
    <xf numFmtId="0" fontId="3" fillId="0" borderId="5" xfId="6" applyFont="1" applyBorder="1" applyAlignment="1">
      <alignment wrapText="1"/>
    </xf>
    <xf numFmtId="0" fontId="39" fillId="0" borderId="7" xfId="23" applyFill="1" applyAlignment="1">
      <alignment vertical="center" wrapText="1"/>
    </xf>
    <xf numFmtId="0" fontId="8" fillId="0" borderId="8" xfId="24" applyFill="1" applyAlignment="1">
      <alignment horizontal="center" vertical="center" wrapText="1"/>
    </xf>
    <xf numFmtId="0" fontId="3" fillId="0" borderId="17" xfId="8" applyFont="1" applyBorder="1" applyAlignment="1">
      <alignment horizontal="center" vertical="center" wrapText="1"/>
    </xf>
    <xf numFmtId="0" fontId="3" fillId="0" borderId="20" xfId="8" applyFont="1" applyBorder="1" applyAlignment="1">
      <alignment horizontal="center" vertical="center" wrapText="1"/>
    </xf>
    <xf numFmtId="0" fontId="8" fillId="0" borderId="8" xfId="24" applyFill="1" applyAlignment="1">
      <alignment horizontal="center"/>
    </xf>
    <xf numFmtId="0" fontId="39" fillId="0" borderId="7" xfId="23" applyFill="1" applyAlignment="1">
      <alignment vertical="center"/>
    </xf>
    <xf numFmtId="0" fontId="39" fillId="0" borderId="7" xfId="23" applyFill="1"/>
    <xf numFmtId="0" fontId="8" fillId="0" borderId="8" xfId="24" applyFill="1"/>
    <xf numFmtId="0" fontId="3" fillId="0" borderId="0" xfId="8" applyFont="1" applyAlignment="1">
      <alignment horizontal="justify" vertical="center"/>
    </xf>
    <xf numFmtId="0" fontId="8" fillId="0" borderId="8" xfId="24" applyFill="1" applyAlignment="1">
      <alignment vertical="center"/>
    </xf>
    <xf numFmtId="0" fontId="8" fillId="0" borderId="8" xfId="24" applyFill="1" applyAlignment="1">
      <alignment vertical="center" wrapText="1"/>
    </xf>
    <xf numFmtId="0" fontId="8" fillId="0" borderId="8" xfId="24" applyFill="1" applyAlignment="1">
      <alignment horizontal="right" vertical="center"/>
    </xf>
    <xf numFmtId="0" fontId="8" fillId="0" borderId="8" xfId="24" quotePrefix="1" applyFill="1" applyAlignment="1">
      <alignment horizontal="right" vertical="center" wrapText="1"/>
    </xf>
    <xf numFmtId="8" fontId="18" fillId="0" borderId="2" xfId="16" applyNumberFormat="1" applyFont="1" applyBorder="1" applyAlignment="1">
      <alignment vertical="center" wrapText="1"/>
    </xf>
    <xf numFmtId="0" fontId="8" fillId="0" borderId="8" xfId="24" applyFill="1" applyAlignment="1">
      <alignment horizontal="left" vertical="center"/>
    </xf>
    <xf numFmtId="0" fontId="20" fillId="0" borderId="2" xfId="22" applyFont="1" applyFill="1" applyBorder="1" applyAlignment="1" applyProtection="1">
      <alignment horizontal="left" vertical="center"/>
    </xf>
    <xf numFmtId="164" fontId="39" fillId="2" borderId="7" xfId="23" applyNumberFormat="1" applyFill="1" applyAlignment="1">
      <alignment vertical="center" wrapText="1"/>
    </xf>
    <xf numFmtId="0" fontId="18" fillId="0" borderId="0" xfId="0" applyFont="1" applyAlignment="1">
      <alignment vertical="center"/>
    </xf>
    <xf numFmtId="0" fontId="2" fillId="0" borderId="0" xfId="8" applyAlignment="1">
      <alignment wrapText="1"/>
    </xf>
    <xf numFmtId="0" fontId="18" fillId="0" borderId="0" xfId="0" applyFont="1" applyAlignment="1">
      <alignment vertical="center" wrapText="1"/>
    </xf>
    <xf numFmtId="0" fontId="3" fillId="0" borderId="0" xfId="11" applyFont="1" applyAlignment="1">
      <alignment wrapText="1"/>
    </xf>
    <xf numFmtId="0" fontId="0" fillId="0" borderId="0" xfId="0" applyAlignment="1">
      <alignment vertical="center" wrapText="1"/>
    </xf>
    <xf numFmtId="0" fontId="42" fillId="0" borderId="17" xfId="0" applyFont="1" applyBorder="1" applyAlignment="1">
      <alignment vertical="center" wrapText="1"/>
    </xf>
    <xf numFmtId="0" fontId="38" fillId="0" borderId="20" xfId="22" applyBorder="1" applyAlignment="1">
      <alignment vertical="center" wrapText="1"/>
    </xf>
    <xf numFmtId="0" fontId="42" fillId="0" borderId="20" xfId="0" applyFont="1" applyBorder="1" applyAlignment="1">
      <alignment vertical="center" wrapText="1"/>
    </xf>
    <xf numFmtId="0" fontId="42" fillId="0" borderId="25" xfId="0" applyFont="1" applyBorder="1" applyAlignment="1">
      <alignment vertical="center" wrapText="1"/>
    </xf>
    <xf numFmtId="6" fontId="42" fillId="0" borderId="20" xfId="0" applyNumberFormat="1" applyFont="1" applyBorder="1" applyAlignment="1">
      <alignment vertical="center" wrapText="1"/>
    </xf>
    <xf numFmtId="6" fontId="42" fillId="0" borderId="17" xfId="0" applyNumberFormat="1" applyFont="1" applyBorder="1" applyAlignment="1">
      <alignment vertical="center" wrapText="1"/>
    </xf>
    <xf numFmtId="0" fontId="42" fillId="0" borderId="29" xfId="0" applyFont="1" applyBorder="1" applyAlignment="1">
      <alignment vertical="center" wrapText="1"/>
    </xf>
    <xf numFmtId="0" fontId="42" fillId="0" borderId="25" xfId="0" applyFont="1" applyBorder="1" applyAlignment="1">
      <alignment horizontal="right" vertical="center" wrapText="1"/>
    </xf>
    <xf numFmtId="0" fontId="42" fillId="0" borderId="22" xfId="0" applyFont="1" applyBorder="1" applyAlignment="1">
      <alignment vertical="center" wrapText="1"/>
    </xf>
    <xf numFmtId="164" fontId="14" fillId="0" borderId="2" xfId="6" applyNumberFormat="1" applyFont="1" applyBorder="1" applyAlignment="1">
      <alignment vertical="center" wrapText="1"/>
    </xf>
    <xf numFmtId="0" fontId="14" fillId="0" borderId="2" xfId="6" applyFont="1" applyBorder="1" applyAlignment="1">
      <alignment vertical="top" wrapText="1"/>
    </xf>
    <xf numFmtId="0" fontId="3" fillId="0" borderId="2" xfId="24" applyFont="1" applyFill="1" applyBorder="1" applyAlignment="1">
      <alignment vertical="top" wrapText="1"/>
    </xf>
    <xf numFmtId="0" fontId="4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vertical="center" wrapText="1"/>
    </xf>
    <xf numFmtId="166" fontId="3" fillId="0" borderId="2" xfId="0" applyNumberFormat="1" applyFont="1" applyBorder="1" applyAlignment="1">
      <alignment horizontal="center" vertical="center" wrapText="1"/>
    </xf>
    <xf numFmtId="0" fontId="3" fillId="0" borderId="0" xfId="0" applyFont="1" applyAlignment="1">
      <alignment vertical="center" wrapText="1"/>
    </xf>
    <xf numFmtId="166" fontId="3" fillId="0" borderId="0" xfId="0" applyNumberFormat="1" applyFont="1" applyAlignment="1">
      <alignment horizontal="center" vertical="center" wrapText="1"/>
    </xf>
    <xf numFmtId="0" fontId="46" fillId="2" borderId="0" xfId="0" applyFont="1" applyFill="1" applyAlignment="1">
      <alignment vertical="center" wrapText="1"/>
    </xf>
    <xf numFmtId="43" fontId="3" fillId="0" borderId="4" xfId="5" applyFont="1" applyFill="1" applyBorder="1" applyAlignment="1">
      <alignment horizontal="right" vertical="center"/>
    </xf>
    <xf numFmtId="43" fontId="3" fillId="0" borderId="3" xfId="1" applyFont="1" applyFill="1" applyBorder="1" applyAlignment="1">
      <alignment horizontal="center" vertical="center"/>
    </xf>
    <xf numFmtId="0" fontId="42" fillId="0" borderId="24" xfId="0" applyFont="1" applyBorder="1" applyAlignment="1">
      <alignment vertical="center" wrapText="1"/>
    </xf>
    <xf numFmtId="0" fontId="39" fillId="6" borderId="0" xfId="23" applyFill="1" applyBorder="1" applyAlignment="1">
      <alignment vertical="center" wrapText="1"/>
    </xf>
    <xf numFmtId="0" fontId="39" fillId="6" borderId="25" xfId="23" applyFill="1" applyBorder="1" applyAlignment="1">
      <alignment vertical="center" wrapText="1"/>
    </xf>
    <xf numFmtId="0" fontId="39" fillId="6" borderId="27" xfId="23" applyFill="1" applyBorder="1" applyAlignment="1">
      <alignment vertical="center" wrapText="1"/>
    </xf>
    <xf numFmtId="0" fontId="39" fillId="6" borderId="21" xfId="23" applyFill="1" applyBorder="1" applyAlignment="1">
      <alignment vertical="center" wrapText="1"/>
    </xf>
    <xf numFmtId="0" fontId="39" fillId="6" borderId="19" xfId="23" applyFill="1" applyBorder="1" applyAlignment="1">
      <alignment vertical="top" wrapText="1"/>
    </xf>
    <xf numFmtId="0" fontId="8" fillId="6" borderId="18" xfId="24" applyFill="1" applyBorder="1" applyAlignment="1">
      <alignment vertical="center" wrapText="1"/>
    </xf>
    <xf numFmtId="0" fontId="8" fillId="6" borderId="19" xfId="24" applyFill="1" applyBorder="1" applyAlignment="1">
      <alignment vertical="center" wrapText="1"/>
    </xf>
    <xf numFmtId="0" fontId="3" fillId="0" borderId="2" xfId="3" applyFont="1" applyBorder="1" applyAlignment="1">
      <alignment horizontal="center"/>
    </xf>
    <xf numFmtId="164" fontId="3" fillId="0" borderId="37" xfId="8" applyNumberFormat="1" applyFont="1" applyBorder="1"/>
    <xf numFmtId="43" fontId="3" fillId="0" borderId="2" xfId="25" applyFont="1" applyFill="1" applyBorder="1" applyAlignment="1">
      <alignment horizontal="right" vertical="center"/>
    </xf>
    <xf numFmtId="1" fontId="3" fillId="0" borderId="0" xfId="6" applyNumberFormat="1" applyFont="1"/>
    <xf numFmtId="0" fontId="35" fillId="0" borderId="0" xfId="16" applyFont="1" applyAlignment="1">
      <alignment horizontal="left" vertical="center" wrapText="1"/>
    </xf>
    <xf numFmtId="10" fontId="0" fillId="0" borderId="0" xfId="0" applyNumberFormat="1"/>
    <xf numFmtId="164" fontId="5" fillId="0" borderId="2" xfId="8" applyNumberFormat="1" applyFont="1" applyBorder="1" applyAlignment="1">
      <alignment horizontal="center" vertical="center" wrapText="1"/>
    </xf>
    <xf numFmtId="164" fontId="5" fillId="0" borderId="2" xfId="3" applyNumberFormat="1" applyFont="1" applyBorder="1" applyAlignment="1">
      <alignment horizontal="center" vertical="center" wrapText="1"/>
    </xf>
    <xf numFmtId="0" fontId="3" fillId="0" borderId="0" xfId="8" applyFont="1" applyAlignment="1">
      <alignment wrapText="1"/>
    </xf>
    <xf numFmtId="0" fontId="3" fillId="0" borderId="0" xfId="3" applyFont="1" applyAlignment="1">
      <alignment vertical="center"/>
    </xf>
    <xf numFmtId="0" fontId="47" fillId="0" borderId="0" xfId="3" applyFont="1" applyAlignment="1">
      <alignment vertical="center"/>
    </xf>
    <xf numFmtId="164" fontId="5" fillId="0" borderId="14" xfId="8" applyNumberFormat="1" applyFont="1" applyBorder="1" applyAlignment="1">
      <alignment horizontal="center" vertical="center" wrapText="1"/>
    </xf>
    <xf numFmtId="0" fontId="10" fillId="2" borderId="0" xfId="0" applyFont="1" applyFill="1" applyAlignment="1">
      <alignment vertical="center"/>
    </xf>
    <xf numFmtId="0" fontId="22" fillId="2" borderId="0" xfId="0" applyFont="1" applyFill="1" applyAlignment="1">
      <alignment vertical="center"/>
    </xf>
    <xf numFmtId="0" fontId="50" fillId="2" borderId="0" xfId="0" applyFont="1" applyFill="1" applyAlignment="1">
      <alignment vertical="center" wrapText="1"/>
    </xf>
    <xf numFmtId="0" fontId="50" fillId="0" borderId="0" xfId="0" applyFont="1" applyAlignment="1">
      <alignment vertical="center" wrapText="1"/>
    </xf>
    <xf numFmtId="0" fontId="10" fillId="0" borderId="0" xfId="0" applyFont="1" applyAlignment="1">
      <alignment vertical="center"/>
    </xf>
    <xf numFmtId="0" fontId="10" fillId="2" borderId="0" xfId="0" applyFont="1" applyFill="1" applyAlignment="1">
      <alignment vertical="top"/>
    </xf>
    <xf numFmtId="0" fontId="49" fillId="4" borderId="39" xfId="27" applyFont="1" applyFill="1" applyBorder="1" applyAlignment="1">
      <alignment horizontal="left" vertical="center"/>
    </xf>
    <xf numFmtId="0" fontId="49" fillId="7" borderId="39" xfId="27" applyFont="1" applyFill="1" applyBorder="1" applyAlignment="1">
      <alignment horizontal="center" vertical="center" wrapText="1"/>
    </xf>
    <xf numFmtId="0" fontId="49" fillId="8" borderId="39" xfId="27" applyFont="1" applyFill="1" applyBorder="1" applyAlignment="1">
      <alignment horizontal="center" vertical="center" wrapText="1"/>
    </xf>
    <xf numFmtId="0" fontId="49" fillId="9" borderId="39" xfId="27" applyFont="1" applyFill="1" applyBorder="1" applyAlignment="1">
      <alignment horizontal="center" vertical="center" wrapText="1"/>
    </xf>
    <xf numFmtId="0" fontId="49" fillId="10" borderId="39" xfId="27" applyFont="1" applyFill="1" applyBorder="1" applyAlignment="1">
      <alignment horizontal="center" vertical="center" wrapText="1"/>
    </xf>
    <xf numFmtId="0" fontId="49" fillId="2" borderId="0" xfId="27" applyFont="1" applyFill="1" applyBorder="1" applyAlignment="1">
      <alignment horizontal="center" vertical="center" wrapText="1"/>
    </xf>
    <xf numFmtId="0" fontId="49" fillId="0" borderId="0" xfId="27" applyFont="1" applyFill="1" applyBorder="1" applyAlignment="1">
      <alignment horizontal="center" vertical="center" wrapText="1"/>
    </xf>
    <xf numFmtId="0" fontId="10" fillId="0" borderId="0" xfId="0" applyFont="1" applyAlignment="1">
      <alignment vertical="top"/>
    </xf>
    <xf numFmtId="0" fontId="49" fillId="0" borderId="0" xfId="27" applyFont="1" applyFill="1" applyBorder="1" applyAlignment="1">
      <alignment horizontal="left" vertical="center"/>
    </xf>
    <xf numFmtId="0" fontId="22" fillId="0" borderId="40" xfId="0" applyFont="1" applyBorder="1" applyAlignment="1">
      <alignment vertical="center"/>
    </xf>
    <xf numFmtId="8" fontId="22" fillId="2" borderId="40" xfId="0" applyNumberFormat="1" applyFont="1" applyFill="1" applyBorder="1" applyAlignment="1">
      <alignment vertical="center" wrapText="1"/>
    </xf>
    <xf numFmtId="168" fontId="22" fillId="2" borderId="0" xfId="0" applyNumberFormat="1" applyFont="1" applyFill="1" applyAlignment="1">
      <alignment vertical="center" wrapText="1"/>
    </xf>
    <xf numFmtId="168" fontId="22" fillId="0" borderId="0" xfId="0" applyNumberFormat="1" applyFont="1" applyAlignment="1">
      <alignment vertical="center" wrapText="1"/>
    </xf>
    <xf numFmtId="0" fontId="22" fillId="0" borderId="41" xfId="0" applyFont="1" applyBorder="1" applyAlignment="1">
      <alignment vertical="center"/>
    </xf>
    <xf numFmtId="8" fontId="22" fillId="2" borderId="41" xfId="0" applyNumberFormat="1" applyFont="1" applyFill="1" applyBorder="1" applyAlignment="1">
      <alignment vertical="center" wrapText="1"/>
    </xf>
    <xf numFmtId="0" fontId="22" fillId="2" borderId="41" xfId="0" applyFont="1" applyFill="1" applyBorder="1" applyAlignment="1">
      <alignment vertical="center"/>
    </xf>
    <xf numFmtId="8" fontId="22" fillId="2" borderId="42" xfId="0" applyNumberFormat="1" applyFont="1" applyFill="1" applyBorder="1" applyAlignment="1">
      <alignment vertical="center" wrapText="1"/>
    </xf>
    <xf numFmtId="8" fontId="22" fillId="2" borderId="43" xfId="0" applyNumberFormat="1" applyFont="1" applyFill="1" applyBorder="1" applyAlignment="1">
      <alignment vertical="center" wrapText="1"/>
    </xf>
    <xf numFmtId="8" fontId="22" fillId="2" borderId="43" xfId="0" applyNumberFormat="1" applyFont="1" applyFill="1" applyBorder="1" applyAlignment="1">
      <alignment vertical="center"/>
    </xf>
    <xf numFmtId="168" fontId="22" fillId="0" borderId="0" xfId="0" applyNumberFormat="1" applyFont="1" applyAlignment="1">
      <alignment vertical="center"/>
    </xf>
    <xf numFmtId="8" fontId="22" fillId="2" borderId="0" xfId="0" applyNumberFormat="1" applyFont="1" applyFill="1" applyAlignment="1">
      <alignment vertical="center" wrapText="1"/>
    </xf>
    <xf numFmtId="0" fontId="22" fillId="2" borderId="40" xfId="0" applyFont="1" applyFill="1" applyBorder="1" applyAlignment="1">
      <alignment vertical="center"/>
    </xf>
    <xf numFmtId="8" fontId="22" fillId="2" borderId="45" xfId="0" applyNumberFormat="1" applyFont="1" applyFill="1" applyBorder="1" applyAlignment="1">
      <alignment vertical="center" wrapText="1"/>
    </xf>
    <xf numFmtId="8" fontId="22" fillId="2" borderId="0" xfId="0" applyNumberFormat="1" applyFont="1" applyFill="1" applyAlignment="1">
      <alignment vertical="center"/>
    </xf>
    <xf numFmtId="0" fontId="2" fillId="2" borderId="0" xfId="0" applyFont="1" applyFill="1" applyAlignment="1">
      <alignment vertical="center"/>
    </xf>
    <xf numFmtId="8" fontId="22" fillId="2" borderId="46" xfId="0" applyNumberFormat="1" applyFont="1" applyFill="1" applyBorder="1" applyAlignment="1">
      <alignment vertical="center" wrapText="1"/>
    </xf>
    <xf numFmtId="8" fontId="22" fillId="2" borderId="47" xfId="0" applyNumberFormat="1" applyFont="1" applyFill="1" applyBorder="1" applyAlignment="1">
      <alignment vertical="center" wrapText="1"/>
    </xf>
    <xf numFmtId="8" fontId="22" fillId="2" borderId="47" xfId="0" applyNumberFormat="1" applyFont="1" applyFill="1" applyBorder="1" applyAlignment="1">
      <alignment vertical="center"/>
    </xf>
    <xf numFmtId="0" fontId="22" fillId="0" borderId="44" xfId="0" applyFont="1" applyBorder="1"/>
    <xf numFmtId="0" fontId="22" fillId="0" borderId="44" xfId="0" applyFont="1" applyBorder="1" applyAlignment="1">
      <alignment vertical="center"/>
    </xf>
    <xf numFmtId="8" fontId="22" fillId="2" borderId="45" xfId="0" applyNumberFormat="1" applyFont="1" applyFill="1" applyBorder="1" applyAlignment="1">
      <alignment vertical="center"/>
    </xf>
    <xf numFmtId="168" fontId="2" fillId="0" borderId="0" xfId="0" applyNumberFormat="1" applyFont="1" applyAlignment="1">
      <alignment vertical="center"/>
    </xf>
    <xf numFmtId="0" fontId="22" fillId="0" borderId="41" xfId="0" applyFont="1" applyBorder="1"/>
    <xf numFmtId="0" fontId="22" fillId="5" borderId="0" xfId="0" applyFont="1" applyFill="1"/>
    <xf numFmtId="0" fontId="23" fillId="2" borderId="0" xfId="0" applyFont="1" applyFill="1"/>
    <xf numFmtId="0" fontId="22" fillId="3" borderId="40" xfId="0" applyFont="1" applyFill="1" applyBorder="1" applyAlignment="1">
      <alignment vertical="top"/>
    </xf>
    <xf numFmtId="0" fontId="22" fillId="0" borderId="40" xfId="0" applyFont="1" applyBorder="1" applyAlignment="1">
      <alignment vertical="top"/>
    </xf>
    <xf numFmtId="8" fontId="22" fillId="2" borderId="40" xfId="0" applyNumberFormat="1" applyFont="1" applyFill="1" applyBorder="1" applyAlignment="1">
      <alignment vertical="top" wrapText="1"/>
    </xf>
    <xf numFmtId="8" fontId="22" fillId="2" borderId="0" xfId="0" applyNumberFormat="1" applyFont="1" applyFill="1" applyAlignment="1">
      <alignment vertical="top"/>
    </xf>
    <xf numFmtId="8" fontId="22" fillId="2" borderId="49" xfId="0" applyNumberFormat="1" applyFont="1" applyFill="1" applyBorder="1" applyAlignment="1">
      <alignment vertical="top"/>
    </xf>
    <xf numFmtId="0" fontId="2" fillId="2" borderId="0" xfId="0" applyFont="1" applyFill="1" applyAlignment="1">
      <alignment vertical="top"/>
    </xf>
    <xf numFmtId="0" fontId="22" fillId="3" borderId="0" xfId="0" applyFont="1" applyFill="1" applyAlignment="1">
      <alignment vertical="top"/>
    </xf>
    <xf numFmtId="0" fontId="22" fillId="0" borderId="0" xfId="0" applyFont="1" applyAlignment="1">
      <alignment vertical="top"/>
    </xf>
    <xf numFmtId="8" fontId="22" fillId="2" borderId="0" xfId="0" applyNumberFormat="1" applyFont="1" applyFill="1" applyAlignment="1">
      <alignment vertical="top" wrapText="1"/>
    </xf>
    <xf numFmtId="10" fontId="22" fillId="2" borderId="0" xfId="0" applyNumberFormat="1" applyFont="1" applyFill="1" applyAlignment="1">
      <alignment vertical="center"/>
    </xf>
    <xf numFmtId="10" fontId="2" fillId="0" borderId="0" xfId="0" applyNumberFormat="1" applyFont="1" applyAlignment="1">
      <alignment vertical="center"/>
    </xf>
    <xf numFmtId="0" fontId="10" fillId="0" borderId="0" xfId="0" applyFont="1"/>
    <xf numFmtId="0" fontId="22" fillId="2" borderId="46" xfId="0" applyFont="1" applyFill="1" applyBorder="1" applyAlignment="1">
      <alignment vertical="top"/>
    </xf>
    <xf numFmtId="8" fontId="2" fillId="2" borderId="40" xfId="0" applyNumberFormat="1" applyFont="1" applyFill="1" applyBorder="1" applyAlignment="1">
      <alignment vertical="top"/>
    </xf>
    <xf numFmtId="8" fontId="2" fillId="2" borderId="40" xfId="0" applyNumberFormat="1" applyFont="1" applyFill="1" applyBorder="1" applyAlignment="1">
      <alignment horizontal="center" vertical="top"/>
    </xf>
    <xf numFmtId="0" fontId="22" fillId="2" borderId="51" xfId="0" applyFont="1" applyFill="1" applyBorder="1" applyAlignment="1">
      <alignment vertical="top"/>
    </xf>
    <xf numFmtId="8" fontId="2" fillId="2" borderId="41" xfId="0" applyNumberFormat="1" applyFont="1" applyFill="1" applyBorder="1" applyAlignment="1">
      <alignment horizontal="center" vertical="top"/>
    </xf>
    <xf numFmtId="168" fontId="2" fillId="2" borderId="0" xfId="0" applyNumberFormat="1" applyFont="1" applyFill="1" applyAlignment="1">
      <alignment vertical="center"/>
    </xf>
    <xf numFmtId="8" fontId="2" fillId="0" borderId="0" xfId="0" applyNumberFormat="1" applyFont="1" applyAlignment="1">
      <alignment horizontal="center" vertical="center"/>
    </xf>
    <xf numFmtId="0" fontId="2" fillId="2" borderId="42" xfId="0" applyFont="1" applyFill="1" applyBorder="1" applyAlignment="1">
      <alignment vertical="top"/>
    </xf>
    <xf numFmtId="0" fontId="2" fillId="2" borderId="45" xfId="0" applyFont="1" applyFill="1" applyBorder="1" applyAlignment="1">
      <alignment vertical="top"/>
    </xf>
    <xf numFmtId="0" fontId="22" fillId="0" borderId="41" xfId="0" applyFont="1" applyBorder="1" applyAlignment="1">
      <alignment vertical="top"/>
    </xf>
    <xf numFmtId="0" fontId="22" fillId="0" borderId="51" xfId="0" applyFont="1" applyBorder="1" applyAlignment="1">
      <alignment vertical="top"/>
    </xf>
    <xf numFmtId="166" fontId="2" fillId="0" borderId="45" xfId="0" applyNumberFormat="1" applyFont="1" applyBorder="1" applyAlignment="1">
      <alignment vertical="top"/>
    </xf>
    <xf numFmtId="8" fontId="2" fillId="2" borderId="0" xfId="0" applyNumberFormat="1" applyFont="1" applyFill="1" applyAlignment="1">
      <alignment horizontal="center" vertical="center"/>
    </xf>
    <xf numFmtId="0" fontId="49" fillId="4" borderId="39" xfId="27" applyFont="1" applyFill="1" applyBorder="1" applyAlignment="1">
      <alignment horizontal="center" vertical="center"/>
    </xf>
    <xf numFmtId="0" fontId="22" fillId="2" borderId="40" xfId="0" applyFont="1" applyFill="1" applyBorder="1" applyAlignment="1">
      <alignment vertical="top"/>
    </xf>
    <xf numFmtId="0" fontId="22" fillId="2" borderId="40" xfId="0" quotePrefix="1" applyFont="1" applyFill="1" applyBorder="1" applyAlignment="1">
      <alignment horizontal="right" vertical="top" wrapText="1"/>
    </xf>
    <xf numFmtId="0" fontId="22" fillId="2" borderId="41" xfId="0" applyFont="1" applyFill="1" applyBorder="1" applyAlignment="1">
      <alignment vertical="top"/>
    </xf>
    <xf numFmtId="0" fontId="22" fillId="0" borderId="41" xfId="0" quotePrefix="1" applyFont="1" applyBorder="1" applyAlignment="1">
      <alignment horizontal="right" vertical="top" wrapText="1"/>
    </xf>
    <xf numFmtId="0" fontId="22" fillId="0" borderId="41" xfId="0" quotePrefix="1" applyFont="1" applyBorder="1" applyAlignment="1">
      <alignment horizontal="right" vertical="top"/>
    </xf>
    <xf numFmtId="0" fontId="49" fillId="2" borderId="0" xfId="27" applyFont="1" applyFill="1" applyBorder="1" applyAlignment="1">
      <alignment horizontal="center" vertical="center"/>
    </xf>
    <xf numFmtId="0" fontId="22" fillId="5" borderId="41" xfId="0" applyFont="1" applyFill="1" applyBorder="1" applyAlignment="1">
      <alignment vertical="top"/>
    </xf>
    <xf numFmtId="10" fontId="2" fillId="2" borderId="0" xfId="0" applyNumberFormat="1" applyFont="1" applyFill="1" applyAlignment="1">
      <alignment vertical="center"/>
    </xf>
    <xf numFmtId="0" fontId="22" fillId="5" borderId="41" xfId="0" applyFont="1" applyFill="1" applyBorder="1" applyAlignment="1">
      <alignment vertical="top" wrapText="1"/>
    </xf>
    <xf numFmtId="0" fontId="22" fillId="2" borderId="41" xfId="0" quotePrefix="1" applyFont="1" applyFill="1" applyBorder="1" applyAlignment="1">
      <alignment horizontal="right" vertical="top" wrapText="1"/>
    </xf>
    <xf numFmtId="10" fontId="2" fillId="2" borderId="0" xfId="0" applyNumberFormat="1" applyFont="1" applyFill="1" applyAlignment="1">
      <alignment horizontal="right" vertical="center"/>
    </xf>
    <xf numFmtId="0" fontId="22" fillId="2" borderId="41" xfId="0" applyFont="1" applyFill="1" applyBorder="1" applyAlignment="1">
      <alignment vertical="top" wrapText="1"/>
    </xf>
    <xf numFmtId="8" fontId="22" fillId="2" borderId="41" xfId="0" applyNumberFormat="1" applyFont="1" applyFill="1" applyBorder="1" applyAlignment="1">
      <alignment vertical="top"/>
    </xf>
    <xf numFmtId="0" fontId="49" fillId="0" borderId="0" xfId="27" applyFont="1" applyFill="1" applyBorder="1" applyAlignment="1">
      <alignment horizontal="center" vertical="center"/>
    </xf>
    <xf numFmtId="0" fontId="22" fillId="2" borderId="40" xfId="0" quotePrefix="1" applyFont="1" applyFill="1" applyBorder="1" applyAlignment="1">
      <alignment wrapText="1"/>
    </xf>
    <xf numFmtId="8" fontId="2" fillId="2" borderId="40" xfId="0" applyNumberFormat="1" applyFont="1" applyFill="1" applyBorder="1" applyAlignment="1">
      <alignment vertical="center"/>
    </xf>
    <xf numFmtId="166" fontId="10" fillId="2" borderId="0" xfId="0" applyNumberFormat="1" applyFont="1" applyFill="1" applyAlignment="1">
      <alignment horizontal="center" vertical="top"/>
    </xf>
    <xf numFmtId="0" fontId="22" fillId="0" borderId="0" xfId="0" applyFont="1"/>
    <xf numFmtId="0" fontId="31" fillId="0" borderId="0" xfId="0" applyFont="1"/>
    <xf numFmtId="0" fontId="10" fillId="2" borderId="0" xfId="0" applyFont="1" applyFill="1" applyAlignment="1">
      <alignment horizontal="left" vertical="top"/>
    </xf>
    <xf numFmtId="166" fontId="10" fillId="2" borderId="0" xfId="0" applyNumberFormat="1" applyFont="1" applyFill="1" applyAlignment="1">
      <alignment horizontal="left" vertical="top"/>
    </xf>
    <xf numFmtId="0" fontId="22" fillId="0" borderId="0" xfId="0" applyFont="1" applyAlignment="1">
      <alignment horizontal="left" vertical="top"/>
    </xf>
    <xf numFmtId="0" fontId="10" fillId="0" borderId="0" xfId="0" applyFont="1" applyAlignment="1">
      <alignment horizontal="left" vertical="top"/>
    </xf>
    <xf numFmtId="0" fontId="10" fillId="0" borderId="0" xfId="0" applyFont="1" applyAlignment="1">
      <alignment vertical="top" wrapText="1"/>
    </xf>
    <xf numFmtId="0" fontId="50" fillId="2" borderId="0" xfId="0" applyFont="1" applyFill="1" applyAlignment="1">
      <alignment vertical="top"/>
    </xf>
    <xf numFmtId="0" fontId="10" fillId="0" borderId="0" xfId="0" applyFont="1" applyAlignment="1">
      <alignment horizontal="left" vertical="center"/>
    </xf>
    <xf numFmtId="0" fontId="23" fillId="0" borderId="0" xfId="0" applyFont="1"/>
    <xf numFmtId="0" fontId="18" fillId="0" borderId="0" xfId="16" applyFont="1" applyAlignment="1">
      <alignment horizontal="left" vertical="center" wrapText="1"/>
    </xf>
    <xf numFmtId="0" fontId="3" fillId="0" borderId="9" xfId="6" applyFont="1" applyBorder="1" applyAlignment="1">
      <alignment vertical="center" wrapText="1"/>
    </xf>
    <xf numFmtId="43" fontId="3" fillId="0" borderId="9" xfId="5" applyFont="1" applyFill="1" applyBorder="1" applyAlignment="1">
      <alignment horizontal="right" vertical="center"/>
    </xf>
    <xf numFmtId="10" fontId="3" fillId="0" borderId="9" xfId="4" applyNumberFormat="1" applyFont="1" applyFill="1" applyBorder="1" applyAlignment="1">
      <alignment horizontal="center" vertical="center"/>
    </xf>
    <xf numFmtId="4" fontId="3" fillId="0" borderId="0" xfId="6" applyNumberFormat="1" applyFont="1" applyAlignment="1">
      <alignment horizontal="center" vertical="center"/>
    </xf>
    <xf numFmtId="43" fontId="3" fillId="0" borderId="0" xfId="1" applyFont="1" applyFill="1" applyBorder="1" applyAlignment="1">
      <alignment horizontal="right" vertical="center"/>
    </xf>
    <xf numFmtId="43" fontId="3" fillId="0" borderId="0" xfId="1" applyFont="1" applyFill="1" applyBorder="1" applyAlignment="1">
      <alignment horizontal="center" vertical="center"/>
    </xf>
    <xf numFmtId="4" fontId="3" fillId="0" borderId="0" xfId="5" applyNumberFormat="1" applyFont="1" applyFill="1" applyBorder="1" applyAlignment="1">
      <alignment horizontal="right" vertical="center"/>
    </xf>
    <xf numFmtId="10" fontId="3" fillId="0" borderId="0" xfId="4" applyNumberFormat="1" applyFont="1" applyFill="1" applyBorder="1" applyAlignment="1">
      <alignment horizontal="right" vertical="center"/>
    </xf>
    <xf numFmtId="43" fontId="3" fillId="0" borderId="4" xfId="1" applyFont="1" applyFill="1" applyBorder="1" applyAlignment="1">
      <alignment horizontal="right" vertical="center"/>
    </xf>
    <xf numFmtId="0" fontId="27" fillId="0" borderId="2" xfId="0" applyFont="1" applyBorder="1" applyAlignment="1">
      <alignment vertical="center" wrapText="1"/>
    </xf>
    <xf numFmtId="43" fontId="28" fillId="0" borderId="2" xfId="1" applyFont="1" applyFill="1" applyBorder="1" applyAlignment="1">
      <alignment horizontal="right" vertical="center"/>
    </xf>
    <xf numFmtId="0" fontId="3" fillId="0" borderId="10" xfId="6" applyFont="1" applyBorder="1" applyAlignment="1">
      <alignment horizontal="center" vertical="center"/>
    </xf>
    <xf numFmtId="49" fontId="3" fillId="0" borderId="2" xfId="6" applyNumberFormat="1" applyFont="1" applyBorder="1" applyAlignment="1">
      <alignment horizontal="center" vertical="center"/>
    </xf>
    <xf numFmtId="164" fontId="3" fillId="0" borderId="2" xfId="6" applyNumberFormat="1" applyFont="1" applyBorder="1" applyAlignment="1">
      <alignment horizontal="center" vertical="center" wrapText="1"/>
    </xf>
    <xf numFmtId="4" fontId="3" fillId="0" borderId="3" xfId="6" applyNumberFormat="1" applyFont="1" applyBorder="1" applyAlignment="1">
      <alignment horizontal="center" vertical="center"/>
    </xf>
    <xf numFmtId="167" fontId="24" fillId="0" borderId="2" xfId="8" applyNumberFormat="1" applyFont="1" applyBorder="1"/>
    <xf numFmtId="167" fontId="24" fillId="0" borderId="2" xfId="8" applyNumberFormat="1" applyFont="1" applyBorder="1" applyProtection="1">
      <protection locked="0"/>
    </xf>
    <xf numFmtId="0" fontId="5" fillId="0" borderId="2" xfId="19" applyFont="1" applyBorder="1" applyAlignment="1">
      <alignment vertical="center" wrapText="1"/>
    </xf>
    <xf numFmtId="0" fontId="5" fillId="0" borderId="5" xfId="19" applyFont="1" applyBorder="1"/>
    <xf numFmtId="0" fontId="3" fillId="0" borderId="36" xfId="3" applyFont="1" applyBorder="1" applyAlignment="1">
      <alignment vertical="center" wrapText="1"/>
    </xf>
    <xf numFmtId="0" fontId="3" fillId="0" borderId="5" xfId="20" applyFont="1" applyBorder="1" applyAlignment="1">
      <alignment horizontal="center" vertical="center"/>
    </xf>
    <xf numFmtId="0" fontId="3" fillId="0" borderId="2" xfId="20" applyFont="1" applyBorder="1"/>
    <xf numFmtId="0" fontId="3" fillId="0" borderId="2" xfId="20" applyFont="1" applyBorder="1" applyAlignment="1">
      <alignment vertical="top" wrapText="1"/>
    </xf>
    <xf numFmtId="0" fontId="3" fillId="0" borderId="2" xfId="20" applyFont="1" applyBorder="1" applyAlignment="1">
      <alignment horizontal="center" vertical="center"/>
    </xf>
    <xf numFmtId="0" fontId="3" fillId="0" borderId="2" xfId="3" applyFont="1" applyBorder="1" applyAlignment="1">
      <alignment vertical="center"/>
    </xf>
    <xf numFmtId="43" fontId="21" fillId="0" borderId="2" xfId="1" applyFont="1" applyFill="1" applyBorder="1" applyAlignment="1">
      <alignment horizontal="right" vertical="center"/>
    </xf>
    <xf numFmtId="0" fontId="3" fillId="0" borderId="2" xfId="3" applyFont="1" applyBorder="1" applyAlignment="1">
      <alignment horizontal="center" vertical="center"/>
    </xf>
    <xf numFmtId="43" fontId="47" fillId="0" borderId="2" xfId="5" applyFont="1" applyFill="1" applyBorder="1" applyAlignment="1">
      <alignment horizontal="right"/>
    </xf>
    <xf numFmtId="0" fontId="3" fillId="0" borderId="5" xfId="3" applyFont="1" applyBorder="1" applyAlignment="1">
      <alignment horizontal="center" vertical="center"/>
    </xf>
    <xf numFmtId="0" fontId="3" fillId="0" borderId="2" xfId="3" applyFont="1" applyBorder="1" applyAlignment="1">
      <alignment vertical="top" wrapText="1"/>
    </xf>
    <xf numFmtId="0" fontId="3" fillId="0" borderId="5" xfId="3" applyFont="1" applyBorder="1" applyAlignment="1">
      <alignment vertical="top" wrapText="1"/>
    </xf>
    <xf numFmtId="0" fontId="3" fillId="0" borderId="5" xfId="8" applyFont="1" applyBorder="1" applyAlignment="1">
      <alignment horizontal="center" vertical="center"/>
    </xf>
    <xf numFmtId="0" fontId="5" fillId="0" borderId="2" xfId="8" applyFont="1" applyBorder="1" applyAlignment="1">
      <alignment vertical="top" wrapText="1"/>
    </xf>
    <xf numFmtId="0" fontId="3" fillId="0" borderId="2" xfId="8" applyFont="1" applyBorder="1" applyAlignment="1">
      <alignment vertical="top" wrapText="1"/>
    </xf>
    <xf numFmtId="0" fontId="3" fillId="0" borderId="2" xfId="21" applyFont="1" applyBorder="1" applyAlignment="1">
      <alignment horizontal="center" vertical="center"/>
    </xf>
    <xf numFmtId="0" fontId="5" fillId="0" borderId="5" xfId="8" applyFont="1" applyBorder="1" applyAlignment="1">
      <alignment vertical="top" wrapText="1"/>
    </xf>
    <xf numFmtId="0" fontId="3" fillId="0" borderId="5" xfId="21" applyFont="1" applyBorder="1" applyAlignment="1">
      <alignment vertical="top" wrapText="1"/>
    </xf>
    <xf numFmtId="0" fontId="5" fillId="0" borderId="5" xfId="21" applyFont="1" applyBorder="1" applyAlignment="1">
      <alignment vertical="top" wrapText="1"/>
    </xf>
    <xf numFmtId="0" fontId="3" fillId="0" borderId="2" xfId="3" applyFont="1" applyBorder="1"/>
    <xf numFmtId="0" fontId="3" fillId="0" borderId="2" xfId="3" applyFont="1" applyBorder="1" applyAlignment="1">
      <alignment wrapText="1"/>
    </xf>
    <xf numFmtId="0" fontId="8" fillId="0" borderId="7" xfId="10" applyFill="1" applyAlignment="1">
      <alignment vertical="top" wrapText="1"/>
    </xf>
    <xf numFmtId="164" fontId="3" fillId="0" borderId="6" xfId="8" applyNumberFormat="1" applyFont="1" applyBorder="1" applyAlignment="1">
      <alignment vertical="center" wrapText="1"/>
    </xf>
    <xf numFmtId="43" fontId="3" fillId="0" borderId="6" xfId="5" applyFont="1" applyFill="1" applyBorder="1" applyAlignment="1">
      <alignment horizontal="right"/>
    </xf>
    <xf numFmtId="43" fontId="3" fillId="0" borderId="6" xfId="5" applyFont="1" applyFill="1" applyBorder="1" applyAlignment="1">
      <alignment horizontal="right" vertical="center"/>
    </xf>
    <xf numFmtId="10" fontId="3" fillId="0" borderId="6" xfId="4" applyNumberFormat="1" applyFont="1" applyFill="1" applyBorder="1" applyAlignment="1">
      <alignment horizontal="center" vertical="center"/>
    </xf>
    <xf numFmtId="0" fontId="3" fillId="0" borderId="2" xfId="8" applyFont="1" applyBorder="1" applyAlignment="1">
      <alignment horizontal="right"/>
    </xf>
    <xf numFmtId="164" fontId="17" fillId="0" borderId="2" xfId="8" applyNumberFormat="1" applyFont="1" applyBorder="1" applyAlignment="1">
      <alignment vertical="center" wrapText="1"/>
    </xf>
    <xf numFmtId="164" fontId="14" fillId="0" borderId="2" xfId="8" applyNumberFormat="1" applyFont="1" applyBorder="1" applyAlignment="1">
      <alignment vertical="center"/>
    </xf>
    <xf numFmtId="164" fontId="4" fillId="0" borderId="2" xfId="8" applyNumberFormat="1" applyFont="1" applyBorder="1" applyAlignment="1">
      <alignment vertical="center" wrapText="1"/>
    </xf>
    <xf numFmtId="164" fontId="3" fillId="0" borderId="2" xfId="8" applyNumberFormat="1" applyFont="1" applyBorder="1" applyAlignment="1">
      <alignment horizontal="left" vertical="center" wrapText="1"/>
    </xf>
    <xf numFmtId="0" fontId="3" fillId="0" borderId="2" xfId="7" applyFont="1" applyBorder="1" applyAlignment="1">
      <alignment wrapText="1"/>
    </xf>
    <xf numFmtId="0" fontId="3" fillId="0" borderId="0" xfId="8" applyFont="1" applyAlignment="1">
      <alignment horizontal="center" vertical="center" wrapText="1"/>
    </xf>
    <xf numFmtId="0" fontId="3" fillId="0" borderId="19" xfId="8" applyFont="1" applyBorder="1" applyAlignment="1">
      <alignment horizontal="center" vertical="center" wrapText="1"/>
    </xf>
    <xf numFmtId="3" fontId="3" fillId="0" borderId="17" xfId="8" applyNumberFormat="1" applyFont="1" applyBorder="1" applyAlignment="1">
      <alignment horizontal="center" vertical="center" wrapText="1"/>
    </xf>
    <xf numFmtId="0" fontId="3" fillId="0" borderId="19" xfId="8" applyFont="1" applyBorder="1"/>
    <xf numFmtId="3" fontId="3" fillId="0" borderId="20" xfId="8" applyNumberFormat="1" applyFont="1" applyBorder="1" applyAlignment="1">
      <alignment horizontal="center" vertical="center" wrapText="1"/>
    </xf>
    <xf numFmtId="0" fontId="3" fillId="0" borderId="16" xfId="8" applyFont="1" applyBorder="1"/>
    <xf numFmtId="6" fontId="3" fillId="0" borderId="0" xfId="8" applyNumberFormat="1" applyFont="1" applyAlignment="1">
      <alignment horizontal="center" vertical="center" wrapText="1"/>
    </xf>
    <xf numFmtId="6" fontId="3" fillId="0" borderId="17" xfId="8" applyNumberFormat="1" applyFont="1" applyBorder="1" applyAlignment="1">
      <alignment horizontal="center" vertical="center" wrapText="1"/>
    </xf>
    <xf numFmtId="0" fontId="3" fillId="0" borderId="18" xfId="8" applyFont="1" applyBorder="1"/>
    <xf numFmtId="8" fontId="3" fillId="0" borderId="0" xfId="8" applyNumberFormat="1" applyFont="1" applyAlignment="1">
      <alignment horizontal="center" vertical="center" wrapText="1"/>
    </xf>
    <xf numFmtId="8" fontId="3" fillId="0" borderId="17" xfId="8" applyNumberFormat="1" applyFont="1" applyBorder="1" applyAlignment="1">
      <alignment horizontal="center" vertical="center" wrapText="1"/>
    </xf>
    <xf numFmtId="8" fontId="3" fillId="0" borderId="19" xfId="8" applyNumberFormat="1" applyFont="1" applyBorder="1" applyAlignment="1">
      <alignment horizontal="center" vertical="center" wrapText="1"/>
    </xf>
    <xf numFmtId="8" fontId="3" fillId="0" borderId="20" xfId="8" applyNumberFormat="1" applyFont="1" applyBorder="1" applyAlignment="1">
      <alignment horizontal="center" vertical="center" wrapText="1"/>
    </xf>
    <xf numFmtId="0" fontId="3" fillId="0" borderId="16" xfId="8" applyFont="1" applyBorder="1" applyAlignment="1">
      <alignment vertical="center" wrapText="1"/>
    </xf>
    <xf numFmtId="0" fontId="3" fillId="0" borderId="0" xfId="8" applyFont="1" applyAlignment="1">
      <alignment vertical="top" wrapText="1"/>
    </xf>
    <xf numFmtId="0" fontId="3" fillId="0" borderId="17" xfId="8" applyFont="1" applyBorder="1" applyAlignment="1">
      <alignment vertical="top" wrapText="1"/>
    </xf>
    <xf numFmtId="8" fontId="3" fillId="0" borderId="0" xfId="8" applyNumberFormat="1" applyFont="1" applyAlignment="1">
      <alignment horizontal="right" vertical="center" wrapText="1"/>
    </xf>
    <xf numFmtId="8" fontId="3" fillId="0" borderId="17" xfId="8" applyNumberFormat="1" applyFont="1" applyBorder="1" applyAlignment="1">
      <alignment horizontal="right" vertical="center" wrapText="1"/>
    </xf>
    <xf numFmtId="8" fontId="3" fillId="0" borderId="19" xfId="8" applyNumberFormat="1" applyFont="1" applyBorder="1" applyAlignment="1">
      <alignment horizontal="right" vertical="center" wrapText="1"/>
    </xf>
    <xf numFmtId="8" fontId="3" fillId="0" borderId="20" xfId="8" applyNumberFormat="1" applyFont="1" applyBorder="1" applyAlignment="1">
      <alignment horizontal="right" vertical="center" wrapText="1"/>
    </xf>
    <xf numFmtId="166" fontId="47" fillId="0" borderId="2" xfId="0" applyNumberFormat="1" applyFont="1" applyBorder="1" applyAlignment="1">
      <alignment horizontal="center" vertical="center" wrapText="1"/>
    </xf>
    <xf numFmtId="8" fontId="18" fillId="0" borderId="0" xfId="16" applyNumberFormat="1" applyFont="1" applyAlignment="1">
      <alignment vertical="center" wrapText="1"/>
    </xf>
    <xf numFmtId="0" fontId="3" fillId="0" borderId="2" xfId="6" applyFont="1" applyBorder="1" applyAlignment="1">
      <alignment horizontal="justify"/>
    </xf>
    <xf numFmtId="43" fontId="18" fillId="0" borderId="2" xfId="5" applyFont="1" applyFill="1" applyBorder="1" applyAlignment="1">
      <alignment horizontal="right" vertical="center"/>
    </xf>
    <xf numFmtId="2" fontId="3" fillId="0" borderId="2" xfId="6" applyNumberFormat="1" applyFont="1" applyBorder="1" applyAlignment="1">
      <alignment horizontal="right"/>
    </xf>
    <xf numFmtId="2" fontId="3" fillId="0" borderId="2" xfId="6" applyNumberFormat="1" applyFont="1" applyBorder="1" applyAlignment="1">
      <alignment horizontal="right" vertical="center"/>
    </xf>
    <xf numFmtId="164" fontId="3" fillId="0" borderId="3" xfId="6" applyNumberFormat="1" applyFont="1" applyBorder="1" applyAlignment="1">
      <alignment vertical="center" wrapText="1"/>
    </xf>
    <xf numFmtId="0" fontId="3" fillId="0" borderId="2" xfId="0" applyFont="1" applyBorder="1"/>
    <xf numFmtId="0" fontId="3" fillId="0" borderId="2" xfId="0" applyFont="1" applyBorder="1" applyAlignment="1">
      <alignment wrapText="1"/>
    </xf>
    <xf numFmtId="0" fontId="18" fillId="0" borderId="2" xfId="0" applyFont="1" applyBorder="1"/>
    <xf numFmtId="0" fontId="42" fillId="2" borderId="17" xfId="0" applyFont="1" applyFill="1" applyBorder="1" applyAlignment="1">
      <alignment vertical="center" wrapText="1"/>
    </xf>
    <xf numFmtId="0" fontId="2" fillId="2" borderId="44" xfId="0" applyFont="1" applyFill="1" applyBorder="1" applyAlignment="1">
      <alignment vertical="top"/>
    </xf>
    <xf numFmtId="0" fontId="2" fillId="2" borderId="40" xfId="0" applyFont="1" applyFill="1" applyBorder="1" applyAlignment="1">
      <alignment vertical="top"/>
    </xf>
    <xf numFmtId="164" fontId="6" fillId="0" borderId="1" xfId="2" applyNumberFormat="1" applyFill="1" applyAlignment="1">
      <alignment horizontal="center" vertical="center"/>
    </xf>
    <xf numFmtId="164" fontId="6" fillId="0" borderId="1" xfId="2" applyNumberFormat="1" applyFill="1" applyAlignment="1">
      <alignment horizontal="center"/>
    </xf>
    <xf numFmtId="4" fontId="6" fillId="0" borderId="1" xfId="2" applyNumberFormat="1" applyFill="1" applyAlignment="1">
      <alignment horizontal="center" vertical="center" wrapText="1"/>
    </xf>
    <xf numFmtId="43" fontId="3" fillId="0" borderId="5" xfId="1" applyFont="1" applyFill="1" applyBorder="1" applyAlignment="1">
      <alignment horizontal="center" vertical="center"/>
    </xf>
    <xf numFmtId="43" fontId="3" fillId="0" borderId="4" xfId="1" applyFont="1" applyFill="1" applyBorder="1" applyAlignment="1">
      <alignment horizontal="center" vertical="center"/>
    </xf>
    <xf numFmtId="43" fontId="3" fillId="0" borderId="3" xfId="1" applyFont="1" applyFill="1" applyBorder="1" applyAlignment="1">
      <alignment horizontal="center" vertical="center"/>
    </xf>
    <xf numFmtId="0" fontId="3" fillId="0" borderId="5" xfId="6" applyFont="1" applyBorder="1" applyAlignment="1">
      <alignment horizontal="left" vertical="center" wrapText="1"/>
    </xf>
    <xf numFmtId="0" fontId="3" fillId="0" borderId="4" xfId="6" applyFont="1" applyBorder="1" applyAlignment="1">
      <alignment horizontal="left" vertical="center" wrapText="1"/>
    </xf>
    <xf numFmtId="0" fontId="3" fillId="0" borderId="3" xfId="6" applyFont="1" applyBorder="1" applyAlignment="1">
      <alignment horizontal="left" vertical="center" wrapText="1"/>
    </xf>
    <xf numFmtId="4" fontId="6" fillId="0" borderId="1" xfId="2" applyNumberFormat="1" applyAlignment="1">
      <alignment horizontal="center" vertical="center" wrapText="1"/>
    </xf>
    <xf numFmtId="164" fontId="6" fillId="0" borderId="1" xfId="2" applyNumberFormat="1" applyAlignment="1">
      <alignment horizontal="center" vertical="center"/>
    </xf>
    <xf numFmtId="43" fontId="6" fillId="0" borderId="1" xfId="2" applyNumberFormat="1" applyFill="1" applyAlignment="1">
      <alignment horizontal="left" vertical="center" wrapText="1"/>
    </xf>
    <xf numFmtId="43" fontId="6" fillId="0" borderId="1" xfId="2" applyNumberFormat="1" applyFill="1" applyAlignment="1">
      <alignment horizontal="center" vertical="center" wrapText="1"/>
    </xf>
    <xf numFmtId="0" fontId="8" fillId="0" borderId="8" xfId="24" applyAlignment="1">
      <alignment horizontal="center" vertical="center" wrapText="1"/>
    </xf>
    <xf numFmtId="43" fontId="3" fillId="0" borderId="5" xfId="14" applyFont="1" applyFill="1" applyBorder="1" applyAlignment="1">
      <alignment horizontal="center" vertical="center"/>
    </xf>
    <xf numFmtId="43" fontId="3" fillId="0" borderId="4" xfId="14" applyFont="1" applyFill="1" applyBorder="1" applyAlignment="1">
      <alignment horizontal="center" vertical="center"/>
    </xf>
    <xf numFmtId="43" fontId="3" fillId="0" borderId="3" xfId="14" applyFont="1" applyFill="1" applyBorder="1" applyAlignment="1">
      <alignment horizontal="center" vertical="center"/>
    </xf>
    <xf numFmtId="0" fontId="18" fillId="0" borderId="0" xfId="13" applyFont="1" applyAlignment="1">
      <alignment wrapText="1"/>
    </xf>
    <xf numFmtId="0" fontId="18" fillId="0" borderId="0" xfId="11" applyFont="1" applyAlignment="1">
      <alignment wrapText="1"/>
    </xf>
    <xf numFmtId="0" fontId="50" fillId="5" borderId="38" xfId="0" applyFont="1" applyFill="1" applyBorder="1" applyAlignment="1">
      <alignment horizontal="left" vertical="center" wrapText="1"/>
    </xf>
    <xf numFmtId="49" fontId="22" fillId="0" borderId="40" xfId="0" applyNumberFormat="1" applyFont="1" applyBorder="1" applyAlignment="1">
      <alignment vertical="top" wrapText="1"/>
    </xf>
    <xf numFmtId="49" fontId="22" fillId="0" borderId="41" xfId="0" applyNumberFormat="1" applyFont="1" applyBorder="1" applyAlignment="1">
      <alignment vertical="top" wrapText="1"/>
    </xf>
    <xf numFmtId="49" fontId="22" fillId="0" borderId="44" xfId="0" applyNumberFormat="1" applyFont="1" applyBorder="1" applyAlignment="1">
      <alignment horizontal="left" vertical="top" wrapText="1"/>
    </xf>
    <xf numFmtId="49" fontId="22" fillId="0" borderId="40" xfId="0" applyNumberFormat="1" applyFont="1" applyBorder="1" applyAlignment="1">
      <alignment horizontal="left" vertical="top" wrapText="1"/>
    </xf>
    <xf numFmtId="0" fontId="22" fillId="2" borderId="44" xfId="0" applyFont="1" applyFill="1" applyBorder="1" applyAlignment="1">
      <alignment horizontal="left" vertical="top" wrapText="1"/>
    </xf>
    <xf numFmtId="0" fontId="22" fillId="2" borderId="48" xfId="0" applyFont="1" applyFill="1" applyBorder="1" applyAlignment="1">
      <alignment horizontal="left" vertical="top" wrapText="1"/>
    </xf>
    <xf numFmtId="0" fontId="22" fillId="2" borderId="40" xfId="0" applyFont="1" applyFill="1" applyBorder="1" applyAlignment="1">
      <alignment horizontal="left" vertical="top" wrapText="1"/>
    </xf>
    <xf numFmtId="166" fontId="2" fillId="0" borderId="51" xfId="0" applyNumberFormat="1" applyFont="1" applyBorder="1" applyAlignment="1">
      <alignment horizontal="center" vertical="top"/>
    </xf>
    <xf numFmtId="166" fontId="2" fillId="0" borderId="52" xfId="0" applyNumberFormat="1" applyFont="1" applyBorder="1" applyAlignment="1">
      <alignment horizontal="center" vertical="top"/>
    </xf>
    <xf numFmtId="166" fontId="2" fillId="0" borderId="53" xfId="0" applyNumberFormat="1" applyFont="1" applyBorder="1" applyAlignment="1">
      <alignment horizontal="center" vertical="top"/>
    </xf>
    <xf numFmtId="0" fontId="49" fillId="4" borderId="54" xfId="27" applyFont="1" applyFill="1" applyBorder="1" applyAlignment="1">
      <alignment horizontal="center" vertical="center"/>
    </xf>
    <xf numFmtId="0" fontId="49" fillId="4" borderId="55" xfId="27" applyFont="1" applyFill="1" applyBorder="1" applyAlignment="1">
      <alignment horizontal="center" vertical="center"/>
    </xf>
    <xf numFmtId="0" fontId="22" fillId="0" borderId="41" xfId="0" applyFont="1" applyBorder="1" applyAlignment="1">
      <alignment horizontal="left" vertical="top" wrapText="1"/>
    </xf>
    <xf numFmtId="49" fontId="22" fillId="2" borderId="44" xfId="0" applyNumberFormat="1" applyFont="1" applyFill="1" applyBorder="1" applyAlignment="1">
      <alignment horizontal="left" vertical="top" wrapText="1"/>
    </xf>
    <xf numFmtId="49" fontId="22" fillId="2" borderId="40" xfId="0" applyNumberFormat="1" applyFont="1" applyFill="1" applyBorder="1" applyAlignment="1">
      <alignment horizontal="left" vertical="top" wrapText="1"/>
    </xf>
    <xf numFmtId="0" fontId="22" fillId="2" borderId="50" xfId="0" applyFont="1" applyFill="1" applyBorder="1" applyAlignment="1">
      <alignment horizontal="left" vertical="top" wrapText="1"/>
    </xf>
    <xf numFmtId="0" fontId="22" fillId="2" borderId="56" xfId="0" applyFont="1" applyFill="1" applyBorder="1" applyAlignment="1">
      <alignment horizontal="left" vertical="top"/>
    </xf>
    <xf numFmtId="0" fontId="22" fillId="2" borderId="57" xfId="0" applyFont="1" applyFill="1" applyBorder="1" applyAlignment="1">
      <alignment horizontal="left" vertical="top"/>
    </xf>
    <xf numFmtId="8" fontId="22" fillId="2" borderId="56" xfId="0" applyNumberFormat="1" applyFont="1" applyFill="1" applyBorder="1" applyAlignment="1">
      <alignment horizontal="center" vertical="top"/>
    </xf>
    <xf numFmtId="8" fontId="22" fillId="2" borderId="57" xfId="0" applyNumberFormat="1" applyFont="1" applyFill="1" applyBorder="1" applyAlignment="1">
      <alignment horizontal="center" vertical="top"/>
    </xf>
    <xf numFmtId="0" fontId="22" fillId="2" borderId="51" xfId="0" applyFont="1" applyFill="1" applyBorder="1" applyAlignment="1">
      <alignment horizontal="left" vertical="top"/>
    </xf>
    <xf numFmtId="0" fontId="22" fillId="2" borderId="53" xfId="0" applyFont="1" applyFill="1" applyBorder="1" applyAlignment="1">
      <alignment horizontal="left" vertical="top"/>
    </xf>
    <xf numFmtId="8" fontId="22" fillId="2" borderId="51" xfId="0" applyNumberFormat="1" applyFont="1" applyFill="1" applyBorder="1" applyAlignment="1">
      <alignment horizontal="center" vertical="top"/>
    </xf>
    <xf numFmtId="8" fontId="22" fillId="2" borderId="53" xfId="0" applyNumberFormat="1" applyFont="1" applyFill="1" applyBorder="1" applyAlignment="1">
      <alignment horizontal="center" vertical="top"/>
    </xf>
    <xf numFmtId="0" fontId="22" fillId="2" borderId="56" xfId="0" quotePrefix="1" applyFont="1" applyFill="1" applyBorder="1" applyAlignment="1">
      <alignment horizontal="center" wrapText="1"/>
    </xf>
    <xf numFmtId="0" fontId="22" fillId="2" borderId="57" xfId="0" quotePrefix="1" applyFont="1" applyFill="1" applyBorder="1" applyAlignment="1">
      <alignment horizontal="center" wrapText="1"/>
    </xf>
    <xf numFmtId="8" fontId="22" fillId="2" borderId="56" xfId="0" applyNumberFormat="1" applyFont="1" applyFill="1" applyBorder="1" applyAlignment="1">
      <alignment horizontal="center"/>
    </xf>
    <xf numFmtId="8" fontId="22" fillId="2" borderId="57" xfId="0" applyNumberFormat="1" applyFont="1" applyFill="1" applyBorder="1" applyAlignment="1">
      <alignment horizontal="center"/>
    </xf>
    <xf numFmtId="0" fontId="22" fillId="2" borderId="44" xfId="0" applyFont="1" applyFill="1" applyBorder="1" applyAlignment="1">
      <alignment horizontal="left" vertical="top"/>
    </xf>
    <xf numFmtId="0" fontId="22" fillId="2" borderId="40" xfId="0" applyFont="1" applyFill="1" applyBorder="1" applyAlignment="1">
      <alignment horizontal="left" vertical="top"/>
    </xf>
    <xf numFmtId="0" fontId="22" fillId="2" borderId="51" xfId="0" applyFont="1" applyFill="1" applyBorder="1" applyAlignment="1">
      <alignment horizontal="left" vertical="top" wrapText="1"/>
    </xf>
    <xf numFmtId="0" fontId="22" fillId="2" borderId="53" xfId="0" applyFont="1" applyFill="1" applyBorder="1" applyAlignment="1">
      <alignment horizontal="left" vertical="top" wrapText="1"/>
    </xf>
    <xf numFmtId="0" fontId="22" fillId="5" borderId="51" xfId="0" applyFont="1" applyFill="1" applyBorder="1" applyAlignment="1">
      <alignment horizontal="left" vertical="top" wrapText="1"/>
    </xf>
    <xf numFmtId="0" fontId="22" fillId="5" borderId="52" xfId="0" applyFont="1" applyFill="1" applyBorder="1" applyAlignment="1">
      <alignment horizontal="left" vertical="top" wrapText="1"/>
    </xf>
    <xf numFmtId="0" fontId="22" fillId="5" borderId="53" xfId="0" applyFont="1" applyFill="1" applyBorder="1" applyAlignment="1">
      <alignment horizontal="left" vertical="top" wrapText="1"/>
    </xf>
    <xf numFmtId="0" fontId="22" fillId="2" borderId="51" xfId="0" applyFont="1" applyFill="1" applyBorder="1" applyAlignment="1">
      <alignment horizontal="center" vertical="top" wrapText="1"/>
    </xf>
    <xf numFmtId="0" fontId="22" fillId="2" borderId="53" xfId="0" applyFont="1" applyFill="1" applyBorder="1" applyAlignment="1">
      <alignment horizontal="center" vertical="top" wrapText="1"/>
    </xf>
    <xf numFmtId="0" fontId="22" fillId="2" borderId="51" xfId="0" applyFont="1" applyFill="1" applyBorder="1" applyAlignment="1">
      <alignment horizontal="center" vertical="top"/>
    </xf>
    <xf numFmtId="0" fontId="22" fillId="2" borderId="53" xfId="0" applyFont="1" applyFill="1" applyBorder="1" applyAlignment="1">
      <alignment horizontal="center" vertical="top"/>
    </xf>
    <xf numFmtId="0" fontId="22" fillId="2" borderId="52" xfId="0" applyFont="1" applyFill="1" applyBorder="1" applyAlignment="1">
      <alignment horizontal="left" vertical="top" wrapText="1"/>
    </xf>
    <xf numFmtId="164" fontId="6" fillId="0" borderId="1" xfId="2" applyNumberFormat="1" applyAlignment="1">
      <alignment horizontal="center"/>
    </xf>
    <xf numFmtId="43" fontId="3" fillId="0" borderId="5" xfId="5" applyFont="1" applyFill="1" applyBorder="1" applyAlignment="1">
      <alignment horizontal="center" vertical="center" wrapText="1"/>
    </xf>
    <xf numFmtId="43" fontId="3" fillId="0" borderId="4" xfId="5" applyFont="1" applyFill="1" applyBorder="1" applyAlignment="1">
      <alignment horizontal="center" vertical="center" wrapText="1"/>
    </xf>
    <xf numFmtId="43" fontId="3" fillId="0" borderId="3" xfId="5" applyFont="1" applyFill="1" applyBorder="1" applyAlignment="1">
      <alignment horizontal="center" vertical="center" wrapText="1"/>
    </xf>
    <xf numFmtId="43" fontId="3" fillId="0" borderId="5" xfId="5" applyFont="1" applyFill="1" applyBorder="1" applyAlignment="1">
      <alignment horizontal="center" vertical="center"/>
    </xf>
    <xf numFmtId="43" fontId="3" fillId="0" borderId="4" xfId="5" applyFont="1" applyFill="1" applyBorder="1" applyAlignment="1">
      <alignment horizontal="center" vertical="center"/>
    </xf>
    <xf numFmtId="43" fontId="3" fillId="0" borderId="3" xfId="5" applyFont="1" applyFill="1" applyBorder="1" applyAlignment="1">
      <alignment horizontal="center" vertical="center"/>
    </xf>
    <xf numFmtId="0" fontId="3" fillId="0" borderId="5" xfId="11" applyFont="1" applyBorder="1" applyAlignment="1">
      <alignment horizontal="center" vertical="center"/>
    </xf>
    <xf numFmtId="0" fontId="3" fillId="0" borderId="4" xfId="11" applyFont="1" applyBorder="1" applyAlignment="1">
      <alignment horizontal="center" vertical="center"/>
    </xf>
    <xf numFmtId="0" fontId="3" fillId="0" borderId="3" xfId="11" applyFont="1" applyBorder="1" applyAlignment="1">
      <alignment horizontal="center" vertical="center"/>
    </xf>
    <xf numFmtId="0" fontId="3" fillId="0" borderId="15" xfId="6" applyFont="1" applyBorder="1" applyAlignment="1">
      <alignment horizontal="left" vertical="top" wrapText="1"/>
    </xf>
    <xf numFmtId="0" fontId="3" fillId="0" borderId="11" xfId="6" applyFont="1" applyBorder="1" applyAlignment="1">
      <alignment horizontal="left" vertical="top" wrapText="1"/>
    </xf>
    <xf numFmtId="0" fontId="3" fillId="0" borderId="12" xfId="6" applyFont="1" applyBorder="1" applyAlignment="1">
      <alignment horizontal="left" vertical="top" wrapText="1"/>
    </xf>
    <xf numFmtId="43" fontId="3" fillId="0" borderId="5" xfId="1" applyFont="1" applyFill="1" applyBorder="1" applyAlignment="1">
      <alignment horizontal="center"/>
    </xf>
    <xf numFmtId="43" fontId="3" fillId="0" borderId="4" xfId="1" applyFont="1" applyFill="1" applyBorder="1" applyAlignment="1">
      <alignment horizontal="center"/>
    </xf>
    <xf numFmtId="43" fontId="3" fillId="0" borderId="3" xfId="1" applyFont="1" applyFill="1" applyBorder="1" applyAlignment="1">
      <alignment horizontal="center"/>
    </xf>
    <xf numFmtId="0" fontId="3" fillId="0" borderId="5" xfId="7" applyFont="1" applyBorder="1" applyAlignment="1">
      <alignment horizontal="left" wrapText="1"/>
    </xf>
    <xf numFmtId="0" fontId="3" fillId="0" borderId="4" xfId="7" applyFont="1" applyBorder="1" applyAlignment="1">
      <alignment horizontal="left" wrapText="1"/>
    </xf>
    <xf numFmtId="0" fontId="3" fillId="0" borderId="3" xfId="7" applyFont="1" applyBorder="1" applyAlignment="1">
      <alignment horizontal="left" wrapText="1"/>
    </xf>
    <xf numFmtId="0" fontId="45" fillId="2" borderId="5" xfId="0" applyFont="1" applyFill="1" applyBorder="1" applyAlignment="1">
      <alignment horizontal="left" vertical="center" wrapText="1"/>
    </xf>
    <xf numFmtId="0" fontId="45" fillId="2" borderId="4" xfId="0" applyFont="1" applyFill="1" applyBorder="1" applyAlignment="1">
      <alignment horizontal="left" vertical="center" wrapText="1"/>
    </xf>
    <xf numFmtId="0" fontId="45" fillId="2" borderId="3" xfId="0" applyFont="1" applyFill="1" applyBorder="1" applyAlignment="1">
      <alignment horizontal="left" vertical="center" wrapText="1"/>
    </xf>
    <xf numFmtId="0" fontId="18" fillId="0" borderId="0" xfId="16" applyFont="1" applyAlignment="1">
      <alignment horizontal="left" vertical="center" wrapText="1"/>
    </xf>
    <xf numFmtId="0" fontId="39" fillId="0" borderId="7" xfId="23" applyAlignment="1">
      <alignment horizontal="left" wrapText="1"/>
    </xf>
    <xf numFmtId="0" fontId="3" fillId="0" borderId="0" xfId="8" applyFont="1" applyAlignment="1">
      <alignment horizontal="justify" wrapText="1"/>
    </xf>
    <xf numFmtId="0" fontId="3" fillId="0" borderId="0" xfId="8" applyFont="1" applyAlignment="1">
      <alignment wrapText="1"/>
    </xf>
    <xf numFmtId="0" fontId="8" fillId="0" borderId="8" xfId="24" applyFill="1" applyAlignment="1">
      <alignment horizontal="left" vertical="center" wrapText="1"/>
    </xf>
    <xf numFmtId="0" fontId="3" fillId="0" borderId="16" xfId="8" applyFont="1" applyBorder="1" applyAlignment="1">
      <alignment horizontal="left" vertical="center" wrapText="1"/>
    </xf>
    <xf numFmtId="0" fontId="3" fillId="0" borderId="0" xfId="8" applyFont="1" applyAlignment="1">
      <alignment horizontal="left" vertical="center" wrapText="1"/>
    </xf>
    <xf numFmtId="0" fontId="3" fillId="0" borderId="18" xfId="8" applyFont="1" applyBorder="1" applyAlignment="1">
      <alignment horizontal="left" vertical="center" wrapText="1"/>
    </xf>
    <xf numFmtId="0" fontId="3" fillId="0" borderId="19" xfId="8" applyFont="1" applyBorder="1" applyAlignment="1">
      <alignment horizontal="left" vertical="center" wrapText="1"/>
    </xf>
    <xf numFmtId="0" fontId="8" fillId="0" borderId="8" xfId="24" applyFill="1" applyAlignment="1">
      <alignment horizontal="center" vertical="center" wrapText="1"/>
    </xf>
    <xf numFmtId="6" fontId="3" fillId="0" borderId="0" xfId="8" applyNumberFormat="1" applyFont="1" applyAlignment="1">
      <alignment horizontal="center" vertical="center" wrapText="1"/>
    </xf>
    <xf numFmtId="6" fontId="3" fillId="0" borderId="17" xfId="8" applyNumberFormat="1" applyFont="1" applyBorder="1" applyAlignment="1">
      <alignment horizontal="center" vertical="center" wrapText="1"/>
    </xf>
    <xf numFmtId="6" fontId="3" fillId="0" borderId="19" xfId="8" applyNumberFormat="1" applyFont="1" applyBorder="1" applyAlignment="1">
      <alignment horizontal="center" vertical="center" wrapText="1"/>
    </xf>
    <xf numFmtId="6" fontId="3" fillId="0" borderId="20" xfId="8" applyNumberFormat="1" applyFont="1" applyBorder="1" applyAlignment="1">
      <alignment horizontal="center" vertical="center" wrapText="1"/>
    </xf>
    <xf numFmtId="0" fontId="8" fillId="0" borderId="8" xfId="24" applyFill="1" applyAlignment="1">
      <alignment horizontal="left" wrapText="1"/>
    </xf>
    <xf numFmtId="0" fontId="3" fillId="0" borderId="16" xfId="8" applyFont="1" applyBorder="1" applyAlignment="1">
      <alignment vertical="center" wrapText="1"/>
    </xf>
    <xf numFmtId="0" fontId="3" fillId="0" borderId="17" xfId="8" applyFont="1" applyBorder="1" applyAlignment="1">
      <alignment horizontal="left" vertical="center" wrapText="1"/>
    </xf>
    <xf numFmtId="0" fontId="3" fillId="0" borderId="0" xfId="8" applyFont="1" applyAlignment="1">
      <alignment horizontal="center" vertical="center" wrapText="1"/>
    </xf>
    <xf numFmtId="0" fontId="3" fillId="0" borderId="0" xfId="8" applyFont="1" applyAlignment="1">
      <alignment horizontal="left" vertical="center"/>
    </xf>
    <xf numFmtId="0" fontId="39" fillId="0" borderId="7" xfId="23" applyAlignment="1">
      <alignment horizontal="left" vertical="center"/>
    </xf>
    <xf numFmtId="0" fontId="45" fillId="0" borderId="5" xfId="0" applyFont="1" applyBorder="1" applyAlignment="1">
      <alignment horizontal="left" vertical="center" wrapText="1"/>
    </xf>
    <xf numFmtId="0" fontId="45" fillId="0" borderId="4" xfId="0" applyFont="1" applyBorder="1" applyAlignment="1">
      <alignment horizontal="left" vertical="center" wrapText="1"/>
    </xf>
    <xf numFmtId="0" fontId="45" fillId="0" borderId="3" xfId="0" applyFont="1" applyBorder="1" applyAlignment="1">
      <alignment horizontal="left" vertical="center" wrapText="1"/>
    </xf>
    <xf numFmtId="0" fontId="8" fillId="0" borderId="8" xfId="24" applyAlignment="1">
      <alignment horizontal="left" vertical="center"/>
    </xf>
    <xf numFmtId="0" fontId="18" fillId="0" borderId="2" xfId="16" applyFont="1" applyBorder="1" applyAlignment="1">
      <alignment horizontal="left" vertical="center" wrapText="1"/>
    </xf>
    <xf numFmtId="43" fontId="3" fillId="0" borderId="5" xfId="5" applyFont="1" applyFill="1" applyBorder="1" applyAlignment="1">
      <alignment horizontal="center"/>
    </xf>
    <xf numFmtId="43" fontId="3" fillId="0" borderId="4" xfId="5" applyFont="1" applyFill="1" applyBorder="1" applyAlignment="1">
      <alignment horizontal="center"/>
    </xf>
    <xf numFmtId="43" fontId="3" fillId="0" borderId="3" xfId="5" applyFont="1" applyFill="1" applyBorder="1" applyAlignment="1">
      <alignment horizontal="center"/>
    </xf>
    <xf numFmtId="0" fontId="3" fillId="0" borderId="5"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0" borderId="3" xfId="1" applyNumberFormat="1" applyFont="1" applyFill="1" applyBorder="1" applyAlignment="1">
      <alignment horizontal="center" vertical="center" wrapText="1"/>
    </xf>
    <xf numFmtId="0" fontId="40" fillId="6" borderId="23" xfId="0" applyFont="1" applyFill="1" applyBorder="1" applyAlignment="1">
      <alignment horizontal="left" vertical="center" wrapText="1" indent="4"/>
    </xf>
    <xf numFmtId="0" fontId="40" fillId="6" borderId="21" xfId="0" applyFont="1" applyFill="1" applyBorder="1" applyAlignment="1">
      <alignment horizontal="left" vertical="center" wrapText="1" indent="4"/>
    </xf>
    <xf numFmtId="0" fontId="40" fillId="6" borderId="24" xfId="0" applyFont="1" applyFill="1" applyBorder="1" applyAlignment="1">
      <alignment horizontal="left" vertical="center" wrapText="1" indent="4"/>
    </xf>
    <xf numFmtId="0" fontId="6" fillId="6" borderId="18" xfId="2" applyFill="1" applyBorder="1" applyAlignment="1">
      <alignment horizontal="left" vertical="center" wrapText="1" indent="4"/>
    </xf>
    <xf numFmtId="0" fontId="6" fillId="6" borderId="19" xfId="2" applyFill="1" applyBorder="1" applyAlignment="1">
      <alignment horizontal="left" vertical="center" wrapText="1" indent="4"/>
    </xf>
    <xf numFmtId="0" fontId="6" fillId="6" borderId="20" xfId="2" applyFill="1" applyBorder="1" applyAlignment="1">
      <alignment horizontal="left" vertical="center" wrapText="1" indent="4"/>
    </xf>
    <xf numFmtId="0" fontId="40" fillId="6" borderId="28" xfId="0" applyFont="1" applyFill="1" applyBorder="1" applyAlignment="1">
      <alignment horizontal="left" vertical="center" wrapText="1" indent="4"/>
    </xf>
    <xf numFmtId="0" fontId="40" fillId="6" borderId="30" xfId="0" applyFont="1" applyFill="1" applyBorder="1" applyAlignment="1">
      <alignment horizontal="left" vertical="center" wrapText="1" indent="4"/>
    </xf>
    <xf numFmtId="0" fontId="40" fillId="6" borderId="29" xfId="0" applyFont="1" applyFill="1" applyBorder="1" applyAlignment="1">
      <alignment horizontal="left" vertical="center" wrapText="1" indent="4"/>
    </xf>
    <xf numFmtId="0" fontId="41" fillId="6" borderId="27" xfId="0" applyFont="1" applyFill="1" applyBorder="1" applyAlignment="1">
      <alignment vertical="center" wrapText="1"/>
    </xf>
    <xf numFmtId="0" fontId="41" fillId="6" borderId="25" xfId="0" applyFont="1" applyFill="1" applyBorder="1" applyAlignment="1">
      <alignment vertical="center" wrapText="1"/>
    </xf>
    <xf numFmtId="0" fontId="39" fillId="6" borderId="31" xfId="23" applyFill="1" applyBorder="1" applyAlignment="1">
      <alignment vertical="center" wrapText="1"/>
    </xf>
    <xf numFmtId="0" fontId="39" fillId="6" borderId="25" xfId="23" applyFill="1" applyBorder="1" applyAlignment="1">
      <alignment vertical="center" wrapText="1"/>
    </xf>
    <xf numFmtId="0" fontId="39" fillId="6" borderId="21" xfId="23" applyFill="1" applyBorder="1" applyAlignment="1">
      <alignment vertical="center" wrapText="1"/>
    </xf>
    <xf numFmtId="0" fontId="39" fillId="6" borderId="24" xfId="23" applyFill="1" applyBorder="1" applyAlignment="1">
      <alignment vertical="center" wrapText="1"/>
    </xf>
    <xf numFmtId="0" fontId="39" fillId="6" borderId="19" xfId="23" applyFill="1" applyBorder="1" applyAlignment="1">
      <alignment vertical="center" wrapText="1"/>
    </xf>
    <xf numFmtId="0" fontId="39" fillId="6" borderId="20" xfId="23" applyFill="1" applyBorder="1" applyAlignment="1">
      <alignment vertical="center" wrapText="1"/>
    </xf>
    <xf numFmtId="0" fontId="42" fillId="0" borderId="28" xfId="0" applyFont="1" applyBorder="1" applyAlignment="1">
      <alignment vertical="center" wrapText="1"/>
    </xf>
    <xf numFmtId="0" fontId="42" fillId="0" borderId="29" xfId="0" applyFont="1" applyBorder="1" applyAlignment="1">
      <alignment vertical="center" wrapText="1"/>
    </xf>
    <xf numFmtId="0" fontId="42" fillId="0" borderId="27" xfId="0" applyFont="1" applyBorder="1" applyAlignment="1">
      <alignment vertical="center" wrapText="1"/>
    </xf>
    <xf numFmtId="0" fontId="42" fillId="0" borderId="25" xfId="0" applyFont="1" applyBorder="1" applyAlignment="1">
      <alignment vertical="center" wrapText="1"/>
    </xf>
    <xf numFmtId="0" fontId="42" fillId="0" borderId="23" xfId="0" applyFont="1" applyBorder="1" applyAlignment="1">
      <alignment vertical="center" wrapText="1"/>
    </xf>
    <xf numFmtId="0" fontId="42" fillId="0" borderId="24" xfId="0" applyFont="1" applyBorder="1" applyAlignment="1">
      <alignment vertical="center" wrapText="1"/>
    </xf>
    <xf numFmtId="0" fontId="42" fillId="0" borderId="18" xfId="0" applyFont="1" applyBorder="1" applyAlignment="1">
      <alignment vertical="center" wrapText="1"/>
    </xf>
    <xf numFmtId="0" fontId="42" fillId="0" borderId="20" xfId="0" applyFont="1" applyBorder="1" applyAlignment="1">
      <alignment vertical="center" wrapText="1"/>
    </xf>
    <xf numFmtId="6" fontId="42" fillId="0" borderId="28" xfId="0" applyNumberFormat="1" applyFont="1" applyBorder="1" applyAlignment="1">
      <alignment vertical="center" wrapText="1"/>
    </xf>
    <xf numFmtId="6" fontId="42" fillId="0" borderId="29" xfId="0" applyNumberFormat="1" applyFont="1" applyBorder="1" applyAlignment="1">
      <alignment vertical="center" wrapText="1"/>
    </xf>
    <xf numFmtId="0" fontId="42" fillId="0" borderId="26" xfId="0" applyFont="1" applyBorder="1" applyAlignment="1">
      <alignment vertical="center" wrapText="1"/>
    </xf>
    <xf numFmtId="6" fontId="42" fillId="0" borderId="27" xfId="0" applyNumberFormat="1" applyFont="1" applyBorder="1" applyAlignment="1">
      <alignment vertical="center" wrapText="1"/>
    </xf>
    <xf numFmtId="6" fontId="42" fillId="0" borderId="26" xfId="0" applyNumberFormat="1" applyFont="1" applyBorder="1" applyAlignment="1">
      <alignment vertical="center" wrapText="1"/>
    </xf>
    <xf numFmtId="6" fontId="42" fillId="0" borderId="25" xfId="0" applyNumberFormat="1" applyFont="1" applyBorder="1" applyAlignment="1">
      <alignment vertical="center" wrapText="1"/>
    </xf>
    <xf numFmtId="6" fontId="42" fillId="0" borderId="23" xfId="0" applyNumberFormat="1" applyFont="1" applyBorder="1" applyAlignment="1">
      <alignment vertical="center" wrapText="1"/>
    </xf>
    <xf numFmtId="6" fontId="42" fillId="0" borderId="24" xfId="0" applyNumberFormat="1" applyFont="1" applyBorder="1" applyAlignment="1">
      <alignment vertical="center" wrapText="1"/>
    </xf>
    <xf numFmtId="6" fontId="42" fillId="0" borderId="16" xfId="0" applyNumberFormat="1" applyFont="1" applyBorder="1" applyAlignment="1">
      <alignment vertical="center" wrapText="1"/>
    </xf>
    <xf numFmtId="6" fontId="42" fillId="0" borderId="17" xfId="0" applyNumberFormat="1" applyFont="1" applyBorder="1" applyAlignment="1">
      <alignment vertical="center" wrapText="1"/>
    </xf>
    <xf numFmtId="6" fontId="42" fillId="0" borderId="18" xfId="0" applyNumberFormat="1" applyFont="1" applyBorder="1" applyAlignment="1">
      <alignment vertical="center" wrapText="1"/>
    </xf>
    <xf numFmtId="6" fontId="42" fillId="0" borderId="20" xfId="0" applyNumberFormat="1" applyFont="1" applyBorder="1" applyAlignment="1">
      <alignment vertical="center" wrapText="1"/>
    </xf>
    <xf numFmtId="0" fontId="42" fillId="0" borderId="16" xfId="0" applyFont="1" applyBorder="1" applyAlignment="1">
      <alignment vertical="center" wrapText="1"/>
    </xf>
    <xf numFmtId="0" fontId="42" fillId="0" borderId="17" xfId="0" applyFont="1" applyBorder="1" applyAlignment="1">
      <alignment vertical="center" wrapText="1"/>
    </xf>
    <xf numFmtId="0" fontId="42" fillId="2" borderId="18" xfId="0" applyFont="1" applyFill="1" applyBorder="1" applyAlignment="1">
      <alignment vertical="center" wrapText="1"/>
    </xf>
    <xf numFmtId="0" fontId="42" fillId="2" borderId="20" xfId="0" applyFont="1" applyFill="1" applyBorder="1" applyAlignment="1">
      <alignment vertical="center" wrapText="1"/>
    </xf>
    <xf numFmtId="6" fontId="42" fillId="0" borderId="23" xfId="0" applyNumberFormat="1" applyFont="1" applyBorder="1" applyAlignment="1">
      <alignment vertical="top" wrapText="1"/>
    </xf>
    <xf numFmtId="6" fontId="42" fillId="0" borderId="24" xfId="0" applyNumberFormat="1" applyFont="1" applyBorder="1" applyAlignment="1">
      <alignment vertical="top" wrapText="1"/>
    </xf>
    <xf numFmtId="6" fontId="42" fillId="0" borderId="16" xfId="0" applyNumberFormat="1" applyFont="1" applyBorder="1" applyAlignment="1">
      <alignment vertical="top" wrapText="1"/>
    </xf>
    <xf numFmtId="6" fontId="42" fillId="0" borderId="17" xfId="0" applyNumberFormat="1" applyFont="1" applyBorder="1" applyAlignment="1">
      <alignment vertical="top" wrapText="1"/>
    </xf>
    <xf numFmtId="6" fontId="42" fillId="0" borderId="18" xfId="0" applyNumberFormat="1" applyFont="1" applyBorder="1" applyAlignment="1">
      <alignment vertical="top" wrapText="1"/>
    </xf>
    <xf numFmtId="6" fontId="42" fillId="0" borderId="20" xfId="0" applyNumberFormat="1" applyFont="1" applyBorder="1" applyAlignment="1">
      <alignment vertical="top" wrapText="1"/>
    </xf>
    <xf numFmtId="0" fontId="42" fillId="2" borderId="16" xfId="0" applyFont="1" applyFill="1" applyBorder="1" applyAlignment="1">
      <alignment vertical="center" wrapText="1"/>
    </xf>
    <xf numFmtId="0" fontId="42" fillId="2" borderId="17" xfId="0" applyFont="1" applyFill="1" applyBorder="1" applyAlignment="1">
      <alignment vertical="center" wrapText="1"/>
    </xf>
    <xf numFmtId="0" fontId="39" fillId="6" borderId="23" xfId="23" applyFill="1" applyBorder="1" applyAlignment="1">
      <alignment horizontal="left" vertical="center" wrapText="1" indent="4"/>
    </xf>
    <xf numFmtId="0" fontId="39" fillId="6" borderId="21" xfId="23" applyFill="1" applyBorder="1" applyAlignment="1">
      <alignment horizontal="left" vertical="center" wrapText="1" indent="4"/>
    </xf>
    <xf numFmtId="0" fontId="39" fillId="6" borderId="16" xfId="23" applyFill="1" applyBorder="1" applyAlignment="1">
      <alignment horizontal="left" vertical="center" wrapText="1" indent="4"/>
    </xf>
    <xf numFmtId="0" fontId="39" fillId="6" borderId="0" xfId="23" applyFill="1" applyBorder="1" applyAlignment="1">
      <alignment horizontal="left" vertical="center" wrapText="1" indent="4"/>
    </xf>
    <xf numFmtId="0" fontId="39" fillId="6" borderId="18" xfId="23" applyFill="1" applyBorder="1" applyAlignment="1">
      <alignment horizontal="left" vertical="center" wrapText="1" indent="4"/>
    </xf>
    <xf numFmtId="0" fontId="39" fillId="6" borderId="19" xfId="23" applyFill="1" applyBorder="1" applyAlignment="1">
      <alignment horizontal="left" vertical="center" wrapText="1" indent="4"/>
    </xf>
    <xf numFmtId="0" fontId="0" fillId="0" borderId="16" xfId="0" applyBorder="1" applyAlignment="1">
      <alignment vertical="center" wrapText="1"/>
    </xf>
    <xf numFmtId="0" fontId="42" fillId="0" borderId="18" xfId="0" applyFont="1" applyBorder="1" applyAlignment="1">
      <alignment horizontal="center" vertical="center" wrapText="1"/>
    </xf>
    <xf numFmtId="0" fontId="42" fillId="0" borderId="20" xfId="0" applyFont="1" applyBorder="1" applyAlignment="1">
      <alignment horizontal="center" vertical="center" wrapText="1"/>
    </xf>
    <xf numFmtId="0" fontId="39" fillId="6" borderId="32" xfId="23" applyFill="1" applyBorder="1" applyAlignment="1">
      <alignment horizontal="center" vertical="center" wrapText="1"/>
    </xf>
    <xf numFmtId="0" fontId="39" fillId="6" borderId="33" xfId="23" applyFill="1" applyBorder="1" applyAlignment="1">
      <alignment horizontal="center" vertical="center" wrapText="1"/>
    </xf>
    <xf numFmtId="0" fontId="39" fillId="6" borderId="7" xfId="23" applyFill="1" applyAlignment="1">
      <alignment horizontal="center" vertical="center" wrapText="1"/>
    </xf>
    <xf numFmtId="0" fontId="39" fillId="6" borderId="34" xfId="23" applyFill="1" applyBorder="1" applyAlignment="1">
      <alignment horizontal="center" vertical="center" wrapText="1"/>
    </xf>
    <xf numFmtId="0" fontId="39" fillId="6" borderId="19" xfId="23" applyFill="1" applyBorder="1" applyAlignment="1">
      <alignment horizontal="center" vertical="center" wrapText="1"/>
    </xf>
    <xf numFmtId="0" fontId="39" fillId="6" borderId="20" xfId="23" applyFill="1" applyBorder="1" applyAlignment="1">
      <alignment horizontal="center" vertical="center" wrapText="1"/>
    </xf>
    <xf numFmtId="0" fontId="42" fillId="2" borderId="23" xfId="0" applyFont="1" applyFill="1" applyBorder="1" applyAlignment="1">
      <alignment horizontal="center" vertical="center" wrapText="1"/>
    </xf>
    <xf numFmtId="0" fontId="42" fillId="2" borderId="24" xfId="0" applyFont="1" applyFill="1" applyBorder="1" applyAlignment="1">
      <alignment horizontal="center" vertical="center" wrapText="1"/>
    </xf>
    <xf numFmtId="6" fontId="42" fillId="0" borderId="28" xfId="0" applyNumberFormat="1" applyFont="1" applyBorder="1" applyAlignment="1">
      <alignment horizontal="center" vertical="center" wrapText="1"/>
    </xf>
    <xf numFmtId="6" fontId="42" fillId="0" borderId="29" xfId="0" applyNumberFormat="1" applyFont="1" applyBorder="1" applyAlignment="1">
      <alignment horizontal="center" vertical="center" wrapText="1"/>
    </xf>
    <xf numFmtId="0" fontId="42" fillId="0" borderId="28"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23" xfId="0" applyFont="1" applyBorder="1" applyAlignment="1">
      <alignment horizontal="center" vertical="center" wrapText="1"/>
    </xf>
    <xf numFmtId="0" fontId="42" fillId="0" borderId="24" xfId="0" applyFont="1" applyBorder="1" applyAlignment="1">
      <alignment horizontal="center" vertical="center" wrapText="1"/>
    </xf>
    <xf numFmtId="0" fontId="42" fillId="2" borderId="16" xfId="0" applyFont="1" applyFill="1" applyBorder="1" applyAlignment="1">
      <alignment horizontal="center" vertical="center" wrapText="1"/>
    </xf>
    <xf numFmtId="0" fontId="42" fillId="2" borderId="17" xfId="0" applyFont="1" applyFill="1" applyBorder="1" applyAlignment="1">
      <alignment horizontal="center" vertical="center" wrapText="1"/>
    </xf>
    <xf numFmtId="0" fontId="42" fillId="0" borderId="16" xfId="0" applyFont="1" applyBorder="1" applyAlignment="1">
      <alignment horizontal="center" vertical="center" wrapText="1"/>
    </xf>
    <xf numFmtId="0" fontId="42" fillId="0" borderId="17" xfId="0" applyFont="1" applyBorder="1" applyAlignment="1">
      <alignment horizontal="center" vertical="center" wrapText="1"/>
    </xf>
    <xf numFmtId="6" fontId="42" fillId="0" borderId="18" xfId="0" applyNumberFormat="1" applyFont="1" applyBorder="1" applyAlignment="1">
      <alignment horizontal="center" vertical="center" wrapText="1"/>
    </xf>
    <xf numFmtId="6" fontId="42" fillId="0" borderId="20" xfId="0" applyNumberFormat="1" applyFont="1" applyBorder="1" applyAlignment="1">
      <alignment horizontal="center" vertical="center" wrapText="1"/>
    </xf>
    <xf numFmtId="0" fontId="39" fillId="6" borderId="35" xfId="23" applyFill="1" applyBorder="1" applyAlignment="1">
      <alignment horizontal="left" vertical="center" wrapText="1" indent="4"/>
    </xf>
    <xf numFmtId="0" fontId="39" fillId="6" borderId="32" xfId="23" applyFill="1" applyBorder="1" applyAlignment="1">
      <alignment horizontal="left" vertical="center" wrapText="1" indent="4"/>
    </xf>
    <xf numFmtId="0" fontId="39" fillId="6" borderId="32" xfId="23" applyFill="1" applyBorder="1" applyAlignment="1">
      <alignment horizontal="justify" vertical="center" wrapText="1"/>
    </xf>
    <xf numFmtId="0" fontId="39" fillId="6" borderId="19" xfId="23" applyFill="1" applyBorder="1" applyAlignment="1">
      <alignment horizontal="justify" vertical="center" wrapText="1"/>
    </xf>
    <xf numFmtId="0" fontId="52" fillId="0" borderId="0" xfId="0" applyFont="1" applyAlignment="1">
      <alignment horizontal="left" wrapText="1"/>
    </xf>
    <xf numFmtId="6" fontId="42" fillId="0" borderId="23" xfId="0" applyNumberFormat="1" applyFont="1" applyBorder="1" applyAlignment="1">
      <alignment horizontal="center" vertical="center" wrapText="1"/>
    </xf>
    <xf numFmtId="6" fontId="42" fillId="0" borderId="24" xfId="0" applyNumberFormat="1" applyFont="1" applyBorder="1" applyAlignment="1">
      <alignment horizontal="center" vertical="center" wrapText="1"/>
    </xf>
    <xf numFmtId="0" fontId="39" fillId="6" borderId="23" xfId="23" applyFill="1" applyBorder="1" applyAlignment="1">
      <alignment horizontal="left" vertical="center" wrapText="1"/>
    </xf>
    <xf numFmtId="0" fontId="39" fillId="6" borderId="21" xfId="23" applyFill="1" applyBorder="1" applyAlignment="1">
      <alignment horizontal="left" vertical="center" wrapText="1"/>
    </xf>
    <xf numFmtId="0" fontId="39" fillId="6" borderId="24" xfId="23" applyFill="1" applyBorder="1" applyAlignment="1">
      <alignment horizontal="left" vertical="center" wrapText="1"/>
    </xf>
    <xf numFmtId="0" fontId="39" fillId="6" borderId="16" xfId="23" applyFill="1" applyBorder="1" applyAlignment="1">
      <alignment horizontal="left" vertical="center" wrapText="1"/>
    </xf>
    <xf numFmtId="0" fontId="39" fillId="6" borderId="0" xfId="23" applyFill="1" applyBorder="1" applyAlignment="1">
      <alignment horizontal="left" vertical="center" wrapText="1"/>
    </xf>
    <xf numFmtId="0" fontId="39" fillId="6" borderId="17" xfId="23" applyFill="1" applyBorder="1" applyAlignment="1">
      <alignment horizontal="left" vertical="center" wrapText="1"/>
    </xf>
    <xf numFmtId="0" fontId="8" fillId="6" borderId="19" xfId="24" applyFill="1" applyBorder="1" applyAlignment="1">
      <alignment horizontal="center" vertical="center" wrapText="1"/>
    </xf>
    <xf numFmtId="0" fontId="8" fillId="6" borderId="20" xfId="24" applyFill="1" applyBorder="1" applyAlignment="1">
      <alignment horizontal="center" vertical="center" wrapText="1"/>
    </xf>
    <xf numFmtId="6" fontId="42" fillId="0" borderId="16" xfId="0" applyNumberFormat="1" applyFont="1" applyBorder="1" applyAlignment="1">
      <alignment horizontal="center" vertical="center" wrapText="1"/>
    </xf>
    <xf numFmtId="6" fontId="42" fillId="0" borderId="17" xfId="0" applyNumberFormat="1" applyFont="1" applyBorder="1" applyAlignment="1">
      <alignment horizontal="center" vertical="center" wrapText="1"/>
    </xf>
    <xf numFmtId="0" fontId="6" fillId="0" borderId="1" xfId="2" applyFill="1" applyAlignment="1">
      <alignment horizontal="center" vertical="center"/>
    </xf>
    <xf numFmtId="0" fontId="6" fillId="0" borderId="1" xfId="2" applyFill="1" applyAlignment="1">
      <alignment horizontal="center"/>
    </xf>
    <xf numFmtId="43" fontId="47" fillId="0" borderId="5" xfId="1" applyFont="1" applyFill="1" applyBorder="1" applyAlignment="1">
      <alignment horizontal="center" vertical="center"/>
    </xf>
    <xf numFmtId="43" fontId="47" fillId="0" borderId="4" xfId="1" applyFont="1" applyFill="1" applyBorder="1" applyAlignment="1">
      <alignment horizontal="center" vertical="center"/>
    </xf>
    <xf numFmtId="43" fontId="47" fillId="0" borderId="3" xfId="1" applyFont="1" applyFill="1" applyBorder="1" applyAlignment="1">
      <alignment horizontal="center" vertical="center"/>
    </xf>
    <xf numFmtId="43" fontId="3" fillId="0" borderId="5" xfId="5" applyFont="1" applyFill="1" applyBorder="1" applyAlignment="1">
      <alignment horizontal="center" wrapText="1"/>
    </xf>
    <xf numFmtId="43" fontId="3" fillId="0" borderId="4" xfId="5" applyFont="1" applyFill="1" applyBorder="1" applyAlignment="1">
      <alignment horizontal="center" wrapText="1"/>
    </xf>
    <xf numFmtId="43" fontId="3" fillId="0" borderId="3" xfId="5" applyFont="1" applyFill="1" applyBorder="1" applyAlignment="1">
      <alignment horizontal="center" wrapText="1"/>
    </xf>
    <xf numFmtId="43" fontId="3" fillId="0" borderId="5" xfId="1" applyFont="1" applyFill="1" applyBorder="1" applyAlignment="1">
      <alignment horizontal="center" vertical="center" wrapText="1"/>
    </xf>
    <xf numFmtId="43" fontId="3" fillId="0" borderId="4" xfId="1" applyFont="1" applyFill="1" applyBorder="1" applyAlignment="1">
      <alignment horizontal="center" vertical="center" wrapText="1"/>
    </xf>
    <xf numFmtId="43" fontId="3" fillId="0" borderId="3" xfId="1" applyFont="1" applyFill="1" applyBorder="1" applyAlignment="1">
      <alignment horizontal="center" vertical="center" wrapText="1"/>
    </xf>
    <xf numFmtId="164" fontId="3" fillId="0" borderId="5" xfId="6" applyNumberFormat="1" applyFont="1" applyBorder="1" applyAlignment="1">
      <alignment horizontal="left" vertical="center" wrapText="1"/>
    </xf>
    <xf numFmtId="164" fontId="3" fillId="0" borderId="3" xfId="6" applyNumberFormat="1" applyFont="1" applyBorder="1" applyAlignment="1">
      <alignment horizontal="left" vertical="center" wrapText="1"/>
    </xf>
  </cellXfs>
  <cellStyles count="28">
    <cellStyle name="Comma" xfId="1" builtinId="3"/>
    <cellStyle name="Comma 2" xfId="14" xr:uid="{AC43CC40-A237-4045-B5B6-5874878182CD}"/>
    <cellStyle name="Comma 3 2" xfId="5" xr:uid="{1585BAD2-D699-4A10-90E3-513A9DB0EA62}"/>
    <cellStyle name="Comma 3 2 2" xfId="25" xr:uid="{F9FA9890-4156-4341-B548-362F922B56CE}"/>
    <cellStyle name="Currency 2" xfId="15" xr:uid="{988E5BD3-2ACA-4E1C-819D-443889719A51}"/>
    <cellStyle name="Heading 1" xfId="2" builtinId="16"/>
    <cellStyle name="Heading 1 2" xfId="26" xr:uid="{41F5DEFD-2102-4AA5-8A86-2086C040CE17}"/>
    <cellStyle name="Heading 2" xfId="23" builtinId="17" customBuiltin="1"/>
    <cellStyle name="Heading 2 2" xfId="10" xr:uid="{AD141C35-E318-451A-B231-E79544FAE63A}"/>
    <cellStyle name="Heading 2 3" xfId="27" xr:uid="{F2A86DB1-642B-419E-BB15-8ED7D9A8B5DD}"/>
    <cellStyle name="Heading 3" xfId="24" builtinId="18" customBuiltin="1"/>
    <cellStyle name="Heading 3 2" xfId="12" xr:uid="{979CA73D-090B-4923-BCBD-C17C7EBFB40B}"/>
    <cellStyle name="Heading 4" xfId="9" builtinId="19"/>
    <cellStyle name="Hyperlink" xfId="22" builtinId="8"/>
    <cellStyle name="Hyperlink 2" xfId="17" xr:uid="{32319F1D-F25B-471B-8287-75546D134F6F}"/>
    <cellStyle name="Normal" xfId="0" builtinId="0"/>
    <cellStyle name="Normal 10" xfId="8" xr:uid="{93A17AFD-B522-4103-A365-B7AF86FD3B50}"/>
    <cellStyle name="Normal 11" xfId="21" xr:uid="{F54F61B2-6A8B-48B0-B262-2E571D161F47}"/>
    <cellStyle name="Normal 2" xfId="7" xr:uid="{FF72F801-6FE0-4ADC-8889-84DC05768576}"/>
    <cellStyle name="Normal 2 2" xfId="18" xr:uid="{81C8FFC2-E75D-48ED-AE2C-0C817070B641}"/>
    <cellStyle name="Normal 3" xfId="6" xr:uid="{9167366D-6FF8-447B-B5D4-240D03CB5D35}"/>
    <cellStyle name="Normal 4" xfId="11" xr:uid="{6699A330-4A48-498A-AB38-2E7997197303}"/>
    <cellStyle name="Normal 4 2" xfId="19" xr:uid="{FCF9AF31-0EF1-4555-B110-F365206DFC20}"/>
    <cellStyle name="Normal 5" xfId="16" xr:uid="{C3C3498E-77A1-416F-B953-3B029701EC5C}"/>
    <cellStyle name="Normal 5 3" xfId="13" xr:uid="{5E04954F-1C2D-4731-8692-9E1D79F1E5C8}"/>
    <cellStyle name="Normal 6 2" xfId="3" xr:uid="{74F478CF-3E71-49EB-9243-89D7BDB84F48}"/>
    <cellStyle name="Normal 7" xfId="20" xr:uid="{D2105621-09FE-43D2-B3A0-66DAB6B584F2}"/>
    <cellStyle name="Percent 2 2" xfId="4" xr:uid="{C20E6BAA-6965-4156-B664-9312FB0B0A99}"/>
  </cellStyles>
  <dxfs count="46">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
      <font>
        <b/>
        <i val="0"/>
        <strike val="0"/>
        <color rgb="FFFF0000"/>
      </font>
    </dxf>
  </dxfs>
  <tableStyles count="0" defaultTableStyle="TableStyleMedium2" defaultPivotStyle="PivotStyleLight16"/>
  <colors>
    <mruColors>
      <color rgb="FF31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microsoft.com/office/2017/10/relationships/person" Target="persons/person.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ashboard_IT_30Apr15-pva-v11.xlsb"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y%20Action%20Plan%20-%20Branstyon%20Str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SideCalc"/>
      <sheetName val="Master Transaction Data"/>
      <sheetName val="Full Data Set Bottom Up"/>
      <sheetName val="Conversion Lookups"/>
      <sheetName val="Tariff IT"/>
      <sheetName val="FX"/>
    </sheetNames>
    <sheetDataSet>
      <sheetData sheetId="0">
        <row r="5">
          <cell r="Z5" t="str">
            <v>Italy</v>
          </cell>
        </row>
        <row r="6">
          <cell r="Z6" t="str">
            <v>Denmark</v>
          </cell>
        </row>
        <row r="7">
          <cell r="Z7" t="str">
            <v>Germany</v>
          </cell>
        </row>
        <row r="8">
          <cell r="Z8" t="str">
            <v>Norway</v>
          </cell>
        </row>
        <row r="9">
          <cell r="Z9" t="str">
            <v>Sweden</v>
          </cell>
        </row>
        <row r="10">
          <cell r="Z10" t="str">
            <v>UK</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on Plan"/>
      <sheetName val="Lists"/>
      <sheetName val="Sheet1"/>
      <sheetName val="Recovery Action Plan - Branstyo"/>
    </sheetNames>
    <sheetDataSet>
      <sheetData sheetId="0"/>
      <sheetData sheetId="1">
        <row r="5">
          <cell r="B5" t="str">
            <v>Revenue Control</v>
          </cell>
          <cell r="D5" t="str">
            <v>DBM</v>
          </cell>
        </row>
        <row r="6">
          <cell r="B6" t="str">
            <v>Activity</v>
          </cell>
          <cell r="D6" t="str">
            <v>CRM</v>
          </cell>
        </row>
        <row r="7">
          <cell r="B7" t="str">
            <v>Daily Management</v>
          </cell>
          <cell r="D7" t="str">
            <v>GM</v>
          </cell>
        </row>
        <row r="8">
          <cell r="B8" t="str">
            <v>Staffing</v>
          </cell>
          <cell r="D8" t="str">
            <v>Ops</v>
          </cell>
        </row>
        <row r="9">
          <cell r="B9" t="str">
            <v>Standards</v>
          </cell>
          <cell r="D9" t="str">
            <v>S&amp;C</v>
          </cell>
        </row>
        <row r="10">
          <cell r="D10" t="str">
            <v>Markt</v>
          </cell>
        </row>
        <row r="11">
          <cell r="D11" t="str">
            <v>Ops</v>
          </cell>
        </row>
        <row r="12">
          <cell r="D12" t="str">
            <v>ICT</v>
          </cell>
        </row>
        <row r="13">
          <cell r="D13" t="str">
            <v>S&amp;C</v>
          </cell>
        </row>
        <row r="14">
          <cell r="D14" t="str">
            <v>HR</v>
          </cell>
        </row>
        <row r="15">
          <cell r="D15" t="str">
            <v>FM</v>
          </cell>
        </row>
        <row r="16">
          <cell r="D16" t="str">
            <v>Fin.</v>
          </cell>
        </row>
        <row r="17">
          <cell r="D17" t="str">
            <v>SCD</v>
          </cell>
        </row>
      </sheetData>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Cllr Lydia Hyde" id="{8633F9B3-633E-4BEB-97F5-B0C8CD624F49}" userId="CllrLydiaHyde@southend.gov.uk" providerId="PeoplePicker"/>
  <person displayName="Cllr Daniel Cowan" id="{66A03C8F-5723-4386-9C86-C562C65CDE6C}" userId="S::cllrdanielcowan@southend.gov.uk::a1ecd1f2-1dd5-4530-be70-5e2dc651e69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4-11-29T15:37:05.08" personId="{66A03C8F-5723-4386-9C86-C562C65CDE6C}" id="{A5B674FC-B9AA-48B9-8A13-42DECB14E690}">
    <text>All fees and charges should be agreed with @Cllr Lydia Hyde.  We have a pragmatic view on some increases but other charges need to fall to drive business.</text>
    <mentions>
      <mention mentionpersonId="{8633F9B3-633E-4BEB-97F5-B0C8CD624F49}" mentionId="{F9756471-BDA7-4D55-8843-D47FE0788E3A}" startIndex="43" length="16"/>
    </mentions>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southend.gov.uk/downloads/download/433/planning-fee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25926-1032-4CF6-BEF5-0E81D701F4C9}">
  <dimension ref="B3:C3"/>
  <sheetViews>
    <sheetView workbookViewId="0"/>
  </sheetViews>
  <sheetFormatPr defaultRowHeight="14.5" x14ac:dyDescent="0.35"/>
  <cols>
    <col min="2" max="2" width="14.453125" bestFit="1" customWidth="1"/>
  </cols>
  <sheetData>
    <row r="3" spans="2:3" x14ac:dyDescent="0.35">
      <c r="B3" t="s">
        <v>0</v>
      </c>
      <c r="C3" s="334">
        <v>2.75E-2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1210-395A-44A5-9009-26A660ED7175}">
  <dimension ref="A1:V195"/>
  <sheetViews>
    <sheetView zoomScaleNormal="100" zoomScaleSheetLayoutView="70" workbookViewId="0">
      <selection sqref="A1:B1"/>
    </sheetView>
  </sheetViews>
  <sheetFormatPr defaultColWidth="0" defaultRowHeight="20.25" customHeight="1" x14ac:dyDescent="0.35"/>
  <cols>
    <col min="1" max="1" width="8.1796875" style="57" customWidth="1"/>
    <col min="2" max="2" width="68.26953125" style="47" customWidth="1"/>
    <col min="3" max="3" width="20.453125" style="106" customWidth="1"/>
    <col min="4" max="4" width="16" style="79" customWidth="1"/>
    <col min="5" max="5" width="12.453125" style="79" customWidth="1"/>
    <col min="6" max="6" width="16.26953125" style="79" customWidth="1"/>
    <col min="7" max="7" width="3.453125" style="79" customWidth="1"/>
    <col min="8" max="8" width="16" style="174" customWidth="1"/>
    <col min="9" max="9" width="13.1796875" style="79" customWidth="1"/>
    <col min="10" max="10" width="16.26953125" style="79" customWidth="1"/>
    <col min="11" max="11" width="12.26953125" style="49" customWidth="1"/>
    <col min="12" max="12" width="11" style="50" customWidth="1"/>
    <col min="13" max="16384" width="0" style="36" hidden="1"/>
  </cols>
  <sheetData>
    <row r="1" spans="1:12" s="25" customFormat="1" ht="76" x14ac:dyDescent="0.4">
      <c r="A1" s="520" t="s">
        <v>1</v>
      </c>
      <c r="B1" s="520"/>
      <c r="C1" s="26" t="s">
        <v>680</v>
      </c>
      <c r="D1" s="26" t="s">
        <v>3</v>
      </c>
      <c r="E1" s="26" t="s">
        <v>4</v>
      </c>
      <c r="F1" s="26" t="s">
        <v>5</v>
      </c>
      <c r="G1" s="26"/>
      <c r="H1" s="26" t="s">
        <v>6</v>
      </c>
      <c r="I1" s="26" t="s">
        <v>4</v>
      </c>
      <c r="J1" s="26" t="s">
        <v>7</v>
      </c>
      <c r="K1" s="522" t="s">
        <v>8</v>
      </c>
      <c r="L1" s="522"/>
    </row>
    <row r="2" spans="1:12" s="61" customFormat="1" ht="15.5" x14ac:dyDescent="0.35">
      <c r="A2" s="59"/>
      <c r="B2" s="340"/>
      <c r="C2" s="16"/>
      <c r="D2" s="22" t="s">
        <v>9</v>
      </c>
      <c r="E2" s="22" t="s">
        <v>9</v>
      </c>
      <c r="F2" s="22" t="s">
        <v>9</v>
      </c>
      <c r="G2" s="23"/>
      <c r="H2" s="22" t="s">
        <v>9</v>
      </c>
      <c r="I2" s="22" t="s">
        <v>9</v>
      </c>
      <c r="J2" s="22" t="s">
        <v>9</v>
      </c>
      <c r="K2" s="21" t="s">
        <v>9</v>
      </c>
      <c r="L2" s="20" t="s">
        <v>10</v>
      </c>
    </row>
    <row r="3" spans="1:12" ht="18" x14ac:dyDescent="0.35">
      <c r="A3" s="162"/>
      <c r="B3" s="269" t="s">
        <v>681</v>
      </c>
      <c r="C3" s="16"/>
      <c r="D3" s="22"/>
      <c r="E3" s="22"/>
      <c r="F3" s="22"/>
      <c r="G3" s="22"/>
      <c r="H3" s="112"/>
      <c r="I3" s="22"/>
      <c r="J3" s="22"/>
      <c r="K3" s="21"/>
      <c r="L3" s="20"/>
    </row>
    <row r="4" spans="1:12" ht="15.5" x14ac:dyDescent="0.35">
      <c r="A4" s="162"/>
      <c r="B4" s="94"/>
      <c r="C4" s="16"/>
      <c r="D4" s="22"/>
      <c r="E4" s="22"/>
      <c r="F4" s="22"/>
      <c r="G4" s="22"/>
      <c r="H4" s="112"/>
      <c r="I4" s="22"/>
      <c r="J4" s="22"/>
      <c r="K4" s="21"/>
      <c r="L4" s="20"/>
    </row>
    <row r="5" spans="1:12" ht="15.5" x14ac:dyDescent="0.35">
      <c r="A5" s="37">
        <v>1</v>
      </c>
      <c r="B5" s="42" t="s">
        <v>682</v>
      </c>
      <c r="C5" s="87" t="s">
        <v>12</v>
      </c>
      <c r="D5" s="112">
        <v>95</v>
      </c>
      <c r="E5" s="15"/>
      <c r="F5" s="15">
        <f>D5+E5</f>
        <v>95</v>
      </c>
      <c r="G5" s="22"/>
      <c r="H5" s="112">
        <f>MROUND((D5*(1+Sheet1!$C$3)),0.1)</f>
        <v>97.600000000000009</v>
      </c>
      <c r="I5" s="22"/>
      <c r="J5" s="15">
        <f>H5+I5</f>
        <v>97.600000000000009</v>
      </c>
      <c r="K5" s="9">
        <f>J5-F5</f>
        <v>2.6000000000000085</v>
      </c>
      <c r="L5" s="8">
        <f>IF(F5="","NEW",K5/F5)</f>
        <v>2.736842105263167E-2</v>
      </c>
    </row>
    <row r="6" spans="1:12" ht="15.5" x14ac:dyDescent="0.35">
      <c r="A6" s="37"/>
      <c r="B6" s="42"/>
      <c r="C6" s="87"/>
      <c r="D6" s="112"/>
      <c r="E6" s="15"/>
      <c r="F6" s="15"/>
      <c r="G6" s="22"/>
      <c r="H6" s="112"/>
      <c r="I6" s="22"/>
      <c r="J6" s="15"/>
      <c r="K6" s="9"/>
      <c r="L6" s="8"/>
    </row>
    <row r="7" spans="1:12" ht="18" x14ac:dyDescent="0.35">
      <c r="A7" s="37"/>
      <c r="B7" s="278" t="s">
        <v>683</v>
      </c>
      <c r="C7" s="87"/>
      <c r="D7" s="112"/>
      <c r="E7" s="15"/>
      <c r="F7" s="15"/>
      <c r="G7" s="22"/>
      <c r="H7" s="112"/>
      <c r="I7" s="22"/>
      <c r="J7" s="15"/>
      <c r="K7" s="9"/>
      <c r="L7" s="8"/>
    </row>
    <row r="8" spans="1:12" ht="46.5" x14ac:dyDescent="0.35">
      <c r="A8" s="37">
        <f>A5+1</f>
        <v>2</v>
      </c>
      <c r="B8" s="42" t="s">
        <v>684</v>
      </c>
      <c r="C8" s="87" t="s">
        <v>191</v>
      </c>
      <c r="D8" s="112">
        <v>245</v>
      </c>
      <c r="E8" s="15"/>
      <c r="F8" s="15">
        <f t="shared" ref="F8:F11" si="0">D8+E8</f>
        <v>245</v>
      </c>
      <c r="G8" s="22"/>
      <c r="H8" s="112">
        <f>MROUND((D8*(1+Sheet1!$C$3)),0.1)+48.3</f>
        <v>300</v>
      </c>
      <c r="I8" s="22"/>
      <c r="J8" s="15">
        <f>H8+I8</f>
        <v>300</v>
      </c>
      <c r="K8" s="9">
        <f t="shared" ref="K8:K11" si="1">J8-F8</f>
        <v>55</v>
      </c>
      <c r="L8" s="8">
        <f t="shared" ref="L8:L11" si="2">IF(F8="","NEW",K8/F8)</f>
        <v>0.22448979591836735</v>
      </c>
    </row>
    <row r="9" spans="1:12" ht="15.5" x14ac:dyDescent="0.35">
      <c r="A9" s="37">
        <f>A8+1</f>
        <v>3</v>
      </c>
      <c r="B9" s="86" t="s">
        <v>685</v>
      </c>
      <c r="C9" s="87" t="s">
        <v>12</v>
      </c>
      <c r="D9" s="112">
        <v>110</v>
      </c>
      <c r="E9" s="15"/>
      <c r="F9" s="15">
        <f t="shared" si="0"/>
        <v>110</v>
      </c>
      <c r="G9" s="22"/>
      <c r="H9" s="112">
        <f>MROUND((D9*(1+Sheet1!$C$3)),0.1)+12</f>
        <v>125</v>
      </c>
      <c r="I9" s="22"/>
      <c r="J9" s="15">
        <f>H9+I9</f>
        <v>125</v>
      </c>
      <c r="K9" s="9">
        <f t="shared" si="1"/>
        <v>15</v>
      </c>
      <c r="L9" s="8">
        <f t="shared" si="2"/>
        <v>0.13636363636363635</v>
      </c>
    </row>
    <row r="10" spans="1:12" ht="31" x14ac:dyDescent="0.35">
      <c r="A10" s="37">
        <f>A9+1</f>
        <v>4</v>
      </c>
      <c r="B10" s="86" t="s">
        <v>686</v>
      </c>
      <c r="C10" s="87" t="s">
        <v>191</v>
      </c>
      <c r="D10" s="112">
        <v>245</v>
      </c>
      <c r="E10" s="15"/>
      <c r="F10" s="15">
        <f t="shared" si="0"/>
        <v>245</v>
      </c>
      <c r="G10" s="15"/>
      <c r="H10" s="112">
        <f>MROUND((D10*(1+Sheet1!$C$3)),0.1)+48.3</f>
        <v>300</v>
      </c>
      <c r="I10" s="15"/>
      <c r="J10" s="15">
        <f>H10+I10</f>
        <v>300</v>
      </c>
      <c r="K10" s="9">
        <f t="shared" si="1"/>
        <v>55</v>
      </c>
      <c r="L10" s="8">
        <f t="shared" si="2"/>
        <v>0.22448979591836735</v>
      </c>
    </row>
    <row r="11" spans="1:12" ht="31" x14ac:dyDescent="0.35">
      <c r="A11" s="37">
        <f>A10+1</f>
        <v>5</v>
      </c>
      <c r="B11" s="86" t="s">
        <v>687</v>
      </c>
      <c r="C11" s="87" t="s">
        <v>191</v>
      </c>
      <c r="D11" s="112">
        <v>85</v>
      </c>
      <c r="E11" s="15"/>
      <c r="F11" s="15">
        <f t="shared" si="0"/>
        <v>85</v>
      </c>
      <c r="G11" s="15"/>
      <c r="H11" s="112">
        <f>MROUND((D11*(1+Sheet1!$C$3)),0.1)+12.7</f>
        <v>100.00000000000001</v>
      </c>
      <c r="I11" s="15"/>
      <c r="J11" s="15">
        <f>H11+I11</f>
        <v>100.00000000000001</v>
      </c>
      <c r="K11" s="9">
        <f t="shared" si="1"/>
        <v>15.000000000000014</v>
      </c>
      <c r="L11" s="8">
        <f t="shared" si="2"/>
        <v>0.1764705882352943</v>
      </c>
    </row>
    <row r="12" spans="1:12" ht="15.5" x14ac:dyDescent="0.35">
      <c r="A12" s="37"/>
      <c r="B12" s="42"/>
      <c r="C12" s="87"/>
      <c r="D12" s="112"/>
      <c r="E12" s="15"/>
      <c r="F12" s="15"/>
      <c r="G12" s="22"/>
      <c r="H12" s="112"/>
      <c r="I12" s="22"/>
      <c r="J12" s="15"/>
      <c r="K12" s="9"/>
      <c r="L12" s="8"/>
    </row>
    <row r="13" spans="1:12" ht="18" x14ac:dyDescent="0.35">
      <c r="A13" s="37"/>
      <c r="B13" s="269" t="s">
        <v>688</v>
      </c>
      <c r="C13" s="87"/>
      <c r="D13" s="112"/>
      <c r="E13" s="15"/>
      <c r="F13" s="15"/>
      <c r="G13" s="15"/>
      <c r="H13" s="112"/>
      <c r="I13" s="15"/>
      <c r="J13" s="15"/>
      <c r="K13" s="9"/>
      <c r="L13" s="8"/>
    </row>
    <row r="14" spans="1:12" ht="15.5" x14ac:dyDescent="0.35">
      <c r="A14" s="37">
        <f>A11+1</f>
        <v>6</v>
      </c>
      <c r="B14" s="86" t="s">
        <v>689</v>
      </c>
      <c r="C14" s="87" t="s">
        <v>191</v>
      </c>
      <c r="D14" s="112">
        <v>68.2</v>
      </c>
      <c r="E14" s="15"/>
      <c r="F14" s="15">
        <f>D14+E14</f>
        <v>68.2</v>
      </c>
      <c r="G14" s="15"/>
      <c r="H14" s="112">
        <f>MROUND((D14*(1+Sheet1!$C$3)),0.1)+4.9</f>
        <v>75.000000000000014</v>
      </c>
      <c r="I14" s="15"/>
      <c r="J14" s="15">
        <f>H14+I14</f>
        <v>75.000000000000014</v>
      </c>
      <c r="K14" s="9">
        <f>J14-F14</f>
        <v>6.8000000000000114</v>
      </c>
      <c r="L14" s="8">
        <f>IF(F14="","NEW",K14/F14)</f>
        <v>9.9706744868035352E-2</v>
      </c>
    </row>
    <row r="15" spans="1:12" ht="31" x14ac:dyDescent="0.35">
      <c r="A15" s="37">
        <f>A14+1</f>
        <v>7</v>
      </c>
      <c r="B15" s="42" t="s">
        <v>690</v>
      </c>
      <c r="C15" s="87" t="s">
        <v>191</v>
      </c>
      <c r="D15" s="112">
        <v>125</v>
      </c>
      <c r="E15" s="15"/>
      <c r="F15" s="15">
        <f>D15+E15</f>
        <v>125</v>
      </c>
      <c r="G15" s="15"/>
      <c r="H15" s="112">
        <f>MROUND((D15*(1+Sheet1!$C$3)),0.1)+31.6</f>
        <v>160</v>
      </c>
      <c r="I15" s="15"/>
      <c r="J15" s="15">
        <f>H15+I15</f>
        <v>160</v>
      </c>
      <c r="K15" s="9">
        <f>J15-F15</f>
        <v>35</v>
      </c>
      <c r="L15" s="8">
        <f>IF(F15="","NEW",K15/F15)</f>
        <v>0.28000000000000003</v>
      </c>
    </row>
    <row r="16" spans="1:12" ht="15.5" x14ac:dyDescent="0.35">
      <c r="A16" s="37">
        <f>A15+1</f>
        <v>8</v>
      </c>
      <c r="B16" s="86" t="s">
        <v>691</v>
      </c>
      <c r="C16" s="87" t="s">
        <v>191</v>
      </c>
      <c r="D16" s="112">
        <v>110</v>
      </c>
      <c r="E16" s="15"/>
      <c r="F16" s="15">
        <f>D16+E16</f>
        <v>110</v>
      </c>
      <c r="G16" s="15"/>
      <c r="H16" s="112">
        <f>MROUND((D16*(1+Sheet1!$C$3)),0.1)+2</f>
        <v>115</v>
      </c>
      <c r="I16" s="15"/>
      <c r="J16" s="15">
        <f>H16+I16</f>
        <v>115</v>
      </c>
      <c r="K16" s="9">
        <f>J16-F16</f>
        <v>5</v>
      </c>
      <c r="L16" s="8">
        <f>IF(F16="","NEW",K16/F16)</f>
        <v>4.5454545454545456E-2</v>
      </c>
    </row>
    <row r="17" spans="1:22" ht="15.5" x14ac:dyDescent="0.35">
      <c r="A17" s="37">
        <f>A16+1</f>
        <v>9</v>
      </c>
      <c r="B17" s="86" t="s">
        <v>692</v>
      </c>
      <c r="C17" s="87" t="s">
        <v>191</v>
      </c>
      <c r="D17" s="28">
        <v>270</v>
      </c>
      <c r="E17" s="444"/>
      <c r="F17" s="15">
        <f>D17+E17</f>
        <v>270</v>
      </c>
      <c r="G17" s="444"/>
      <c r="H17" s="112">
        <f>MROUND((D17*(1+Sheet1!$C$3)),0.1)+22.6</f>
        <v>300.00000000000006</v>
      </c>
      <c r="I17" s="444"/>
      <c r="J17" s="15">
        <f>H17+I17</f>
        <v>300.00000000000006</v>
      </c>
      <c r="K17" s="9">
        <f>J17-F17</f>
        <v>30.000000000000057</v>
      </c>
      <c r="L17" s="8">
        <f>IF(F17="","NEW",K17/F17)</f>
        <v>0.11111111111111133</v>
      </c>
    </row>
    <row r="18" spans="1:22" ht="15.5" x14ac:dyDescent="0.35">
      <c r="A18" s="37">
        <f>A17+1</f>
        <v>10</v>
      </c>
      <c r="B18" s="86" t="s">
        <v>693</v>
      </c>
      <c r="C18" s="87" t="s">
        <v>191</v>
      </c>
      <c r="D18" s="523" t="s">
        <v>1466</v>
      </c>
      <c r="E18" s="524"/>
      <c r="F18" s="524"/>
      <c r="G18" s="524"/>
      <c r="H18" s="524"/>
      <c r="I18" s="524"/>
      <c r="J18" s="525"/>
      <c r="K18" s="9"/>
      <c r="L18" s="8"/>
    </row>
    <row r="19" spans="1:22" ht="15.5" x14ac:dyDescent="0.35">
      <c r="A19" s="37"/>
      <c r="B19" s="86"/>
      <c r="C19" s="87"/>
      <c r="D19" s="112"/>
      <c r="E19" s="15"/>
      <c r="F19" s="15"/>
      <c r="G19" s="15"/>
      <c r="H19" s="112"/>
      <c r="I19" s="15"/>
      <c r="J19" s="15"/>
      <c r="K19" s="9"/>
      <c r="L19" s="8"/>
      <c r="M19" s="43"/>
      <c r="N19" s="112"/>
      <c r="O19" s="15"/>
      <c r="P19" s="15"/>
      <c r="Q19" s="22"/>
      <c r="R19" s="112"/>
      <c r="S19" s="22"/>
      <c r="T19" s="15"/>
      <c r="U19" s="9"/>
      <c r="V19" s="8"/>
    </row>
    <row r="20" spans="1:22" ht="15" customHeight="1" x14ac:dyDescent="0.35">
      <c r="A20" s="37"/>
      <c r="B20" s="269" t="s">
        <v>694</v>
      </c>
      <c r="C20" s="87"/>
      <c r="D20" s="112"/>
      <c r="E20" s="15"/>
      <c r="F20" s="15"/>
      <c r="G20" s="15"/>
      <c r="H20" s="112"/>
      <c r="I20" s="15"/>
      <c r="J20" s="15"/>
      <c r="K20" s="9"/>
      <c r="L20" s="8"/>
    </row>
    <row r="21" spans="1:22" ht="31" x14ac:dyDescent="0.35">
      <c r="A21" s="37">
        <f>A18+1</f>
        <v>11</v>
      </c>
      <c r="B21" s="42" t="s">
        <v>695</v>
      </c>
      <c r="C21" s="87" t="s">
        <v>191</v>
      </c>
      <c r="D21" s="112">
        <v>245</v>
      </c>
      <c r="E21" s="15"/>
      <c r="F21" s="15">
        <f>D21+E21</f>
        <v>245</v>
      </c>
      <c r="G21" s="15"/>
      <c r="H21" s="112">
        <f>MROUND((D21*(1+Sheet1!$C$3)),0.1)+28.3</f>
        <v>280</v>
      </c>
      <c r="I21" s="15"/>
      <c r="J21" s="15">
        <f>H21+I21</f>
        <v>280</v>
      </c>
      <c r="K21" s="9">
        <f>J21-F21</f>
        <v>35</v>
      </c>
      <c r="L21" s="8">
        <f>IF(F21="","NEW",K21/F21)</f>
        <v>0.14285714285714285</v>
      </c>
    </row>
    <row r="22" spans="1:22" ht="15.5" x14ac:dyDescent="0.35">
      <c r="A22" s="37">
        <f>A21+1</f>
        <v>12</v>
      </c>
      <c r="B22" s="86" t="s">
        <v>696</v>
      </c>
      <c r="C22" s="87" t="s">
        <v>12</v>
      </c>
      <c r="D22" s="112">
        <v>110</v>
      </c>
      <c r="E22" s="15"/>
      <c r="F22" s="15">
        <f>D22+E22</f>
        <v>110</v>
      </c>
      <c r="G22" s="15"/>
      <c r="H22" s="112">
        <f>MROUND((D22*(1+Sheet1!$C$3)),0.1)+12</f>
        <v>125</v>
      </c>
      <c r="I22" s="15"/>
      <c r="J22" s="15">
        <f>H22+I22</f>
        <v>125</v>
      </c>
      <c r="K22" s="9">
        <f>J22-F22</f>
        <v>15</v>
      </c>
      <c r="L22" s="8">
        <f>IF(F22="","NEW",K22/F22)</f>
        <v>0.13636363636363635</v>
      </c>
    </row>
    <row r="23" spans="1:22" ht="31" x14ac:dyDescent="0.35">
      <c r="A23" s="37">
        <f>A22+1</f>
        <v>13</v>
      </c>
      <c r="B23" s="86" t="s">
        <v>686</v>
      </c>
      <c r="C23" s="87" t="s">
        <v>191</v>
      </c>
      <c r="D23" s="112">
        <v>245</v>
      </c>
      <c r="E23" s="15"/>
      <c r="F23" s="15">
        <f>D23+E23</f>
        <v>245</v>
      </c>
      <c r="G23" s="15"/>
      <c r="H23" s="112">
        <f>MROUND((D23*(1+Sheet1!$C$3)),0.1)+28.3</f>
        <v>280</v>
      </c>
      <c r="I23" s="15"/>
      <c r="J23" s="15">
        <f>H23+I23</f>
        <v>280</v>
      </c>
      <c r="K23" s="9">
        <f>J23-F23</f>
        <v>35</v>
      </c>
      <c r="L23" s="8">
        <f>IF(F23="","NEW",K23/F23)</f>
        <v>0.14285714285714285</v>
      </c>
    </row>
    <row r="24" spans="1:22" ht="31" x14ac:dyDescent="0.35">
      <c r="A24" s="37">
        <f>A23+1</f>
        <v>14</v>
      </c>
      <c r="B24" s="86" t="s">
        <v>697</v>
      </c>
      <c r="C24" s="87" t="s">
        <v>191</v>
      </c>
      <c r="D24" s="112">
        <v>85</v>
      </c>
      <c r="E24" s="15"/>
      <c r="F24" s="15">
        <f>D24+E24</f>
        <v>85</v>
      </c>
      <c r="G24" s="15"/>
      <c r="H24" s="112">
        <f>MROUND((D24*(1+Sheet1!$C$3)),0.1)+12.7</f>
        <v>100.00000000000001</v>
      </c>
      <c r="I24" s="15"/>
      <c r="J24" s="15">
        <f>H24+I24</f>
        <v>100.00000000000001</v>
      </c>
      <c r="K24" s="9">
        <f>J24-F24</f>
        <v>15.000000000000014</v>
      </c>
      <c r="L24" s="8">
        <f>IF(F24="","NEW",K24/F24)</f>
        <v>0.1764705882352943</v>
      </c>
    </row>
    <row r="25" spans="1:22" ht="15.5" x14ac:dyDescent="0.35">
      <c r="A25" s="37"/>
      <c r="B25" s="42"/>
      <c r="C25" s="87"/>
      <c r="D25" s="112"/>
      <c r="E25" s="15"/>
      <c r="F25" s="15"/>
      <c r="G25" s="15"/>
      <c r="H25" s="112"/>
      <c r="I25" s="15"/>
      <c r="J25" s="15"/>
      <c r="K25" s="9"/>
      <c r="L25" s="8"/>
    </row>
    <row r="26" spans="1:22" ht="15" customHeight="1" x14ac:dyDescent="0.35">
      <c r="A26" s="37"/>
      <c r="B26" s="269" t="s">
        <v>698</v>
      </c>
      <c r="C26" s="87"/>
      <c r="D26" s="112"/>
      <c r="E26" s="15"/>
      <c r="F26" s="15"/>
      <c r="G26" s="15"/>
      <c r="H26" s="112"/>
      <c r="I26" s="15"/>
      <c r="J26" s="65"/>
      <c r="K26" s="9"/>
      <c r="L26" s="8"/>
    </row>
    <row r="27" spans="1:22" ht="31.5" customHeight="1" x14ac:dyDescent="0.35">
      <c r="A27" s="37">
        <f>A24+1</f>
        <v>15</v>
      </c>
      <c r="B27" s="42" t="s">
        <v>699</v>
      </c>
      <c r="C27" s="87" t="s">
        <v>191</v>
      </c>
      <c r="D27" s="112">
        <v>245</v>
      </c>
      <c r="E27" s="15"/>
      <c r="F27" s="15">
        <f>D27+E27</f>
        <v>245</v>
      </c>
      <c r="G27" s="15"/>
      <c r="H27" s="112">
        <f>MROUND((D27*(1+Sheet1!$C$3)),0.1)+28.3</f>
        <v>280</v>
      </c>
      <c r="I27" s="15"/>
      <c r="J27" s="15">
        <f>H27+I27</f>
        <v>280</v>
      </c>
      <c r="K27" s="9">
        <f>J27-F27</f>
        <v>35</v>
      </c>
      <c r="L27" s="8">
        <f>IF(F27="","NEW",K27/F27)</f>
        <v>0.14285714285714285</v>
      </c>
    </row>
    <row r="28" spans="1:22" ht="15.5" x14ac:dyDescent="0.35">
      <c r="A28" s="37">
        <f>A27+1</f>
        <v>16</v>
      </c>
      <c r="B28" s="86" t="s">
        <v>696</v>
      </c>
      <c r="C28" s="87" t="s">
        <v>12</v>
      </c>
      <c r="D28" s="112">
        <v>110</v>
      </c>
      <c r="E28" s="15"/>
      <c r="F28" s="15">
        <f>D28+E28</f>
        <v>110</v>
      </c>
      <c r="G28" s="15"/>
      <c r="H28" s="112">
        <f>MROUND((D28*(1+Sheet1!$C$3)),0.1)+12</f>
        <v>125</v>
      </c>
      <c r="I28" s="15"/>
      <c r="J28" s="15">
        <f>H28+I28</f>
        <v>125</v>
      </c>
      <c r="K28" s="9">
        <f>J28-F28</f>
        <v>15</v>
      </c>
      <c r="L28" s="8">
        <f>IF(F28="","NEW",K28/F28)</f>
        <v>0.13636363636363635</v>
      </c>
    </row>
    <row r="29" spans="1:22" ht="31" x14ac:dyDescent="0.35">
      <c r="A29" s="37">
        <f>A28+1</f>
        <v>17</v>
      </c>
      <c r="B29" s="86" t="s">
        <v>686</v>
      </c>
      <c r="C29" s="87" t="s">
        <v>191</v>
      </c>
      <c r="D29" s="112">
        <v>245</v>
      </c>
      <c r="E29" s="15"/>
      <c r="F29" s="15">
        <f>D29+E29</f>
        <v>245</v>
      </c>
      <c r="G29" s="15"/>
      <c r="H29" s="112">
        <f>MROUND((D29*(1+Sheet1!$C$3)),0.1)+28.3</f>
        <v>280</v>
      </c>
      <c r="I29" s="15"/>
      <c r="J29" s="15">
        <f>H29+I29</f>
        <v>280</v>
      </c>
      <c r="K29" s="9">
        <f>J29-F29</f>
        <v>35</v>
      </c>
      <c r="L29" s="8">
        <f>IF(F29="","NEW",K29/F29)</f>
        <v>0.14285714285714285</v>
      </c>
    </row>
    <row r="30" spans="1:22" ht="31" x14ac:dyDescent="0.35">
      <c r="A30" s="37">
        <f>A29+1</f>
        <v>18</v>
      </c>
      <c r="B30" s="86" t="s">
        <v>687</v>
      </c>
      <c r="C30" s="87" t="s">
        <v>191</v>
      </c>
      <c r="D30" s="112">
        <v>85</v>
      </c>
      <c r="E30" s="15"/>
      <c r="F30" s="15">
        <f>D30+E30</f>
        <v>85</v>
      </c>
      <c r="G30" s="15"/>
      <c r="H30" s="112">
        <f>MROUND((D30*(1+Sheet1!$C$3)),0.1)+12.7</f>
        <v>100.00000000000001</v>
      </c>
      <c r="I30" s="15"/>
      <c r="J30" s="15">
        <f>H30+I30</f>
        <v>100.00000000000001</v>
      </c>
      <c r="K30" s="9">
        <f>J30-F30</f>
        <v>15.000000000000014</v>
      </c>
      <c r="L30" s="8">
        <f>IF(F30="","NEW",K30/F30)</f>
        <v>0.1764705882352943</v>
      </c>
    </row>
    <row r="31" spans="1:22" ht="15.5" x14ac:dyDescent="0.35">
      <c r="A31" s="37"/>
      <c r="B31" s="42"/>
      <c r="C31" s="87"/>
      <c r="D31" s="112"/>
      <c r="E31" s="15"/>
      <c r="F31" s="15"/>
      <c r="G31" s="15"/>
      <c r="H31" s="112"/>
      <c r="I31" s="15"/>
      <c r="J31" s="65"/>
      <c r="K31" s="9"/>
      <c r="L31" s="8"/>
    </row>
    <row r="32" spans="1:22" ht="36" x14ac:dyDescent="0.35">
      <c r="A32" s="37"/>
      <c r="B32" s="269" t="s">
        <v>700</v>
      </c>
      <c r="C32" s="16"/>
      <c r="D32" s="112"/>
      <c r="E32" s="22"/>
      <c r="F32" s="22"/>
      <c r="G32" s="22"/>
      <c r="H32" s="112"/>
      <c r="I32" s="22"/>
      <c r="J32" s="22"/>
      <c r="K32" s="9"/>
      <c r="L32" s="8"/>
    </row>
    <row r="33" spans="1:12" ht="29.15" customHeight="1" x14ac:dyDescent="0.35">
      <c r="A33" s="37">
        <f>A30+1</f>
        <v>19</v>
      </c>
      <c r="B33" s="42" t="s">
        <v>701</v>
      </c>
      <c r="C33" s="87" t="s">
        <v>191</v>
      </c>
      <c r="D33" s="112">
        <v>245</v>
      </c>
      <c r="E33" s="15"/>
      <c r="F33" s="15">
        <f t="shared" ref="F33:F42" si="3">D33+E33</f>
        <v>245</v>
      </c>
      <c r="G33" s="22"/>
      <c r="H33" s="112">
        <f>MROUND((D33*(1+Sheet1!$C$3)),0.1)+28.3</f>
        <v>280</v>
      </c>
      <c r="I33" s="22"/>
      <c r="J33" s="15">
        <f>H33+I33</f>
        <v>280</v>
      </c>
      <c r="K33" s="9">
        <f t="shared" ref="K33:K42" si="4">J33-F33</f>
        <v>35</v>
      </c>
      <c r="L33" s="8">
        <f t="shared" ref="L33:L42" si="5">IF(F33="","NEW",K33/F33)</f>
        <v>0.14285714285714285</v>
      </c>
    </row>
    <row r="34" spans="1:12" ht="15.5" x14ac:dyDescent="0.35">
      <c r="A34" s="37">
        <f t="shared" ref="A34:A42" si="6">A33+1</f>
        <v>20</v>
      </c>
      <c r="B34" s="86" t="s">
        <v>696</v>
      </c>
      <c r="C34" s="87" t="s">
        <v>12</v>
      </c>
      <c r="D34" s="112">
        <v>110</v>
      </c>
      <c r="E34" s="10"/>
      <c r="F34" s="15">
        <f t="shared" si="3"/>
        <v>110</v>
      </c>
      <c r="G34" s="15"/>
      <c r="H34" s="112">
        <f>MROUND((D34*(1+Sheet1!$C$3)),0.1)+12</f>
        <v>125</v>
      </c>
      <c r="I34" s="15"/>
      <c r="J34" s="15">
        <f>H34+I34</f>
        <v>125</v>
      </c>
      <c r="K34" s="9">
        <f t="shared" si="4"/>
        <v>15</v>
      </c>
      <c r="L34" s="8">
        <f t="shared" si="5"/>
        <v>0.13636363636363635</v>
      </c>
    </row>
    <row r="35" spans="1:12" ht="31" x14ac:dyDescent="0.35">
      <c r="A35" s="37">
        <f t="shared" si="6"/>
        <v>21</v>
      </c>
      <c r="B35" s="86" t="s">
        <v>702</v>
      </c>
      <c r="C35" s="87" t="s">
        <v>191</v>
      </c>
      <c r="D35" s="112">
        <v>245</v>
      </c>
      <c r="E35" s="15"/>
      <c r="F35" s="15">
        <f t="shared" si="3"/>
        <v>245</v>
      </c>
      <c r="G35" s="15"/>
      <c r="H35" s="112">
        <f>MROUND((D35*(1+Sheet1!$C$3)),0.1)+28.3</f>
        <v>280</v>
      </c>
      <c r="I35" s="15"/>
      <c r="J35" s="15">
        <f>H35+I35</f>
        <v>280</v>
      </c>
      <c r="K35" s="9">
        <f t="shared" si="4"/>
        <v>35</v>
      </c>
      <c r="L35" s="8">
        <f t="shared" si="5"/>
        <v>0.14285714285714285</v>
      </c>
    </row>
    <row r="36" spans="1:12" ht="31" x14ac:dyDescent="0.35">
      <c r="A36" s="37">
        <f t="shared" si="6"/>
        <v>22</v>
      </c>
      <c r="B36" s="86" t="s">
        <v>687</v>
      </c>
      <c r="C36" s="87" t="s">
        <v>191</v>
      </c>
      <c r="D36" s="112">
        <v>85</v>
      </c>
      <c r="E36" s="15"/>
      <c r="F36" s="15">
        <f t="shared" si="3"/>
        <v>85</v>
      </c>
      <c r="G36" s="15"/>
      <c r="H36" s="112">
        <f>MROUND((D36*(1+Sheet1!$C$3)),0.1)+12.7</f>
        <v>100.00000000000001</v>
      </c>
      <c r="I36" s="15"/>
      <c r="J36" s="15">
        <f>H36+I36</f>
        <v>100.00000000000001</v>
      </c>
      <c r="K36" s="9">
        <f t="shared" si="4"/>
        <v>15.000000000000014</v>
      </c>
      <c r="L36" s="8">
        <f t="shared" si="5"/>
        <v>0.1764705882352943</v>
      </c>
    </row>
    <row r="37" spans="1:12" ht="15.5" x14ac:dyDescent="0.35">
      <c r="A37" s="37"/>
      <c r="B37" s="86"/>
      <c r="C37" s="87"/>
      <c r="D37" s="112"/>
      <c r="E37" s="15"/>
      <c r="F37" s="15"/>
      <c r="G37" s="15"/>
      <c r="H37" s="112"/>
      <c r="I37" s="15"/>
      <c r="J37" s="15"/>
      <c r="K37" s="9"/>
      <c r="L37" s="8"/>
    </row>
    <row r="38" spans="1:12" ht="36" x14ac:dyDescent="0.35">
      <c r="A38" s="37"/>
      <c r="B38" s="278" t="s">
        <v>703</v>
      </c>
      <c r="C38" s="87"/>
      <c r="D38" s="112"/>
      <c r="E38" s="15"/>
      <c r="F38" s="15"/>
      <c r="G38" s="15"/>
      <c r="H38" s="112"/>
      <c r="I38" s="15"/>
      <c r="J38" s="15"/>
      <c r="K38" s="9"/>
      <c r="L38" s="8"/>
    </row>
    <row r="39" spans="1:12" s="147" customFormat="1" ht="31" x14ac:dyDescent="0.35">
      <c r="A39" s="37">
        <f>A36+1</f>
        <v>23</v>
      </c>
      <c r="B39" s="86" t="s">
        <v>704</v>
      </c>
      <c r="C39" s="87" t="s">
        <v>191</v>
      </c>
      <c r="D39" s="112">
        <v>245</v>
      </c>
      <c r="E39" s="112"/>
      <c r="F39" s="15">
        <f t="shared" si="3"/>
        <v>245</v>
      </c>
      <c r="G39" s="15"/>
      <c r="H39" s="112">
        <f>MROUND((D39*(1+Sheet1!$C$3)),0.1)+23.3+25</f>
        <v>300</v>
      </c>
      <c r="I39" s="112"/>
      <c r="J39" s="15">
        <f>H39+I39</f>
        <v>300</v>
      </c>
      <c r="K39" s="9">
        <f t="shared" si="4"/>
        <v>55</v>
      </c>
      <c r="L39" s="8">
        <f t="shared" si="5"/>
        <v>0.22448979591836735</v>
      </c>
    </row>
    <row r="40" spans="1:12" s="147" customFormat="1" ht="15.5" x14ac:dyDescent="0.35">
      <c r="A40" s="37">
        <f t="shared" si="6"/>
        <v>24</v>
      </c>
      <c r="B40" s="86" t="s">
        <v>696</v>
      </c>
      <c r="C40" s="87" t="s">
        <v>12</v>
      </c>
      <c r="D40" s="112">
        <v>110</v>
      </c>
      <c r="E40" s="112"/>
      <c r="F40" s="15">
        <f t="shared" si="3"/>
        <v>110</v>
      </c>
      <c r="G40" s="15"/>
      <c r="H40" s="112">
        <f>MROUND((D40*(1+Sheet1!$C$3)),0.1)+12</f>
        <v>125</v>
      </c>
      <c r="I40" s="112"/>
      <c r="J40" s="15">
        <f>H40+I40</f>
        <v>125</v>
      </c>
      <c r="K40" s="9">
        <f t="shared" si="4"/>
        <v>15</v>
      </c>
      <c r="L40" s="8">
        <f t="shared" si="5"/>
        <v>0.13636363636363635</v>
      </c>
    </row>
    <row r="41" spans="1:12" ht="15.5" x14ac:dyDescent="0.35">
      <c r="A41" s="37">
        <f t="shared" si="6"/>
        <v>25</v>
      </c>
      <c r="B41" s="86" t="s">
        <v>705</v>
      </c>
      <c r="C41" s="87" t="s">
        <v>191</v>
      </c>
      <c r="D41" s="112">
        <v>245</v>
      </c>
      <c r="E41" s="15"/>
      <c r="F41" s="15">
        <f t="shared" si="3"/>
        <v>245</v>
      </c>
      <c r="G41" s="15"/>
      <c r="H41" s="112">
        <f>MROUND((D41*(1+Sheet1!$C$3)),0.1)+23.3+25</f>
        <v>300</v>
      </c>
      <c r="I41" s="15"/>
      <c r="J41" s="15">
        <f>H41+I41</f>
        <v>300</v>
      </c>
      <c r="K41" s="9">
        <f t="shared" si="4"/>
        <v>55</v>
      </c>
      <c r="L41" s="8">
        <f t="shared" si="5"/>
        <v>0.22448979591836735</v>
      </c>
    </row>
    <row r="42" spans="1:12" ht="31" x14ac:dyDescent="0.35">
      <c r="A42" s="37">
        <f t="shared" si="6"/>
        <v>26</v>
      </c>
      <c r="B42" s="86" t="s">
        <v>687</v>
      </c>
      <c r="C42" s="87" t="s">
        <v>191</v>
      </c>
      <c r="D42" s="112">
        <v>85</v>
      </c>
      <c r="E42" s="15"/>
      <c r="F42" s="15">
        <f t="shared" si="3"/>
        <v>85</v>
      </c>
      <c r="G42" s="15"/>
      <c r="H42" s="112">
        <f>MROUND((D42*(1+Sheet1!$C$3)),0.1)+12.7</f>
        <v>100.00000000000001</v>
      </c>
      <c r="I42" s="15"/>
      <c r="J42" s="15">
        <f>H42+I42</f>
        <v>100.00000000000001</v>
      </c>
      <c r="K42" s="9">
        <f t="shared" si="4"/>
        <v>15.000000000000014</v>
      </c>
      <c r="L42" s="8">
        <f t="shared" si="5"/>
        <v>0.1764705882352943</v>
      </c>
    </row>
    <row r="43" spans="1:12" ht="15.5" x14ac:dyDescent="0.35">
      <c r="A43" s="37"/>
      <c r="B43" s="86"/>
      <c r="C43" s="87"/>
      <c r="D43" s="112"/>
      <c r="E43" s="15"/>
      <c r="F43" s="15"/>
      <c r="G43" s="15"/>
      <c r="H43" s="112"/>
      <c r="I43" s="15"/>
      <c r="J43" s="15"/>
      <c r="K43" s="9"/>
      <c r="L43" s="8"/>
    </row>
    <row r="44" spans="1:12" ht="36" x14ac:dyDescent="0.35">
      <c r="A44" s="37"/>
      <c r="B44" s="278" t="s">
        <v>706</v>
      </c>
      <c r="C44" s="87"/>
      <c r="D44" s="112"/>
      <c r="E44" s="15"/>
      <c r="F44" s="15"/>
      <c r="G44" s="15"/>
      <c r="H44" s="112"/>
      <c r="I44" s="15"/>
      <c r="J44" s="15"/>
      <c r="K44" s="9"/>
      <c r="L44" s="8"/>
    </row>
    <row r="45" spans="1:12" ht="31" x14ac:dyDescent="0.35">
      <c r="A45" s="37">
        <f>A42+1</f>
        <v>27</v>
      </c>
      <c r="B45" s="445" t="s">
        <v>707</v>
      </c>
      <c r="C45" s="87" t="s">
        <v>191</v>
      </c>
      <c r="D45" s="112">
        <v>245</v>
      </c>
      <c r="E45" s="15"/>
      <c r="F45" s="15">
        <f t="shared" ref="F45:F48" si="7">D45+E45</f>
        <v>245</v>
      </c>
      <c r="G45" s="15"/>
      <c r="H45" s="112">
        <f>MROUND((D45*(1+Sheet1!$C$3)),0.1)+28.3</f>
        <v>280</v>
      </c>
      <c r="I45" s="15"/>
      <c r="J45" s="15">
        <f>H45+I45</f>
        <v>280</v>
      </c>
      <c r="K45" s="9">
        <f t="shared" ref="K45:K48" si="8">J45-F45</f>
        <v>35</v>
      </c>
      <c r="L45" s="8">
        <f t="shared" ref="L45:L48" si="9">IF(F45="","NEW",K45/F45)</f>
        <v>0.14285714285714285</v>
      </c>
    </row>
    <row r="46" spans="1:12" ht="15.5" x14ac:dyDescent="0.35">
      <c r="A46" s="37">
        <f t="shared" ref="A46:A60" si="10">A45+1</f>
        <v>28</v>
      </c>
      <c r="B46" s="445" t="s">
        <v>685</v>
      </c>
      <c r="C46" s="87" t="s">
        <v>12</v>
      </c>
      <c r="D46" s="112">
        <v>110</v>
      </c>
      <c r="E46" s="15"/>
      <c r="F46" s="15">
        <f t="shared" si="7"/>
        <v>110</v>
      </c>
      <c r="G46" s="15"/>
      <c r="H46" s="112">
        <f>MROUND((D46*(1+Sheet1!$C$3)),0.1)+12</f>
        <v>125</v>
      </c>
      <c r="I46" s="15"/>
      <c r="J46" s="15">
        <f>H46+I46</f>
        <v>125</v>
      </c>
      <c r="K46" s="9">
        <f t="shared" si="8"/>
        <v>15</v>
      </c>
      <c r="L46" s="8">
        <f t="shared" si="9"/>
        <v>0.13636363636363635</v>
      </c>
    </row>
    <row r="47" spans="1:12" ht="31" x14ac:dyDescent="0.35">
      <c r="A47" s="37">
        <f t="shared" si="10"/>
        <v>29</v>
      </c>
      <c r="B47" s="445" t="s">
        <v>686</v>
      </c>
      <c r="C47" s="87" t="s">
        <v>191</v>
      </c>
      <c r="D47" s="112">
        <v>245</v>
      </c>
      <c r="E47" s="15"/>
      <c r="F47" s="15">
        <f t="shared" si="7"/>
        <v>245</v>
      </c>
      <c r="G47" s="15"/>
      <c r="H47" s="112">
        <f>MROUND((D47*(1+Sheet1!$C$3)),0.1)+28.3</f>
        <v>280</v>
      </c>
      <c r="I47" s="15"/>
      <c r="J47" s="15">
        <f>H47+I47</f>
        <v>280</v>
      </c>
      <c r="K47" s="9">
        <f t="shared" si="8"/>
        <v>35</v>
      </c>
      <c r="L47" s="8">
        <f t="shared" si="9"/>
        <v>0.14285714285714285</v>
      </c>
    </row>
    <row r="48" spans="1:12" ht="31" x14ac:dyDescent="0.35">
      <c r="A48" s="37">
        <f t="shared" si="10"/>
        <v>30</v>
      </c>
      <c r="B48" s="445" t="s">
        <v>697</v>
      </c>
      <c r="C48" s="87" t="s">
        <v>191</v>
      </c>
      <c r="D48" s="112">
        <v>85</v>
      </c>
      <c r="E48" s="15"/>
      <c r="F48" s="15">
        <f t="shared" si="7"/>
        <v>85</v>
      </c>
      <c r="G48" s="15"/>
      <c r="H48" s="112">
        <f>MROUND((D48*(1+Sheet1!$C$3)),0.1)+12.7</f>
        <v>100.00000000000001</v>
      </c>
      <c r="I48" s="15"/>
      <c r="J48" s="15">
        <f>H48+I48</f>
        <v>100.00000000000001</v>
      </c>
      <c r="K48" s="9">
        <f t="shared" si="8"/>
        <v>15.000000000000014</v>
      </c>
      <c r="L48" s="8">
        <f t="shared" si="9"/>
        <v>0.1764705882352943</v>
      </c>
    </row>
    <row r="49" spans="1:12" ht="15.5" x14ac:dyDescent="0.35">
      <c r="A49" s="37"/>
      <c r="B49" s="445"/>
      <c r="C49" s="87"/>
      <c r="D49" s="112"/>
      <c r="E49" s="15"/>
      <c r="F49" s="15"/>
      <c r="G49" s="15"/>
      <c r="H49" s="112"/>
      <c r="I49" s="15"/>
      <c r="J49" s="15"/>
      <c r="K49" s="9"/>
      <c r="L49" s="8"/>
    </row>
    <row r="50" spans="1:12" ht="18" x14ac:dyDescent="0.35">
      <c r="A50" s="37"/>
      <c r="B50" s="278" t="s">
        <v>708</v>
      </c>
      <c r="C50" s="87"/>
      <c r="D50" s="112"/>
      <c r="E50" s="15"/>
      <c r="F50" s="15"/>
      <c r="G50" s="15"/>
      <c r="H50" s="112"/>
      <c r="I50" s="15"/>
      <c r="J50" s="15"/>
      <c r="K50" s="9"/>
      <c r="L50" s="8"/>
    </row>
    <row r="51" spans="1:12" ht="31" x14ac:dyDescent="0.35">
      <c r="A51" s="37">
        <f>A48+1</f>
        <v>31</v>
      </c>
      <c r="B51" s="445" t="s">
        <v>709</v>
      </c>
      <c r="C51" s="87" t="s">
        <v>191</v>
      </c>
      <c r="D51" s="112">
        <v>245</v>
      </c>
      <c r="E51" s="15"/>
      <c r="F51" s="15">
        <f t="shared" ref="F51:F54" si="11">D51+E51</f>
        <v>245</v>
      </c>
      <c r="G51" s="15"/>
      <c r="H51" s="112">
        <f>MROUND((D51*(1+Sheet1!$C$3)),0.1)+48.3</f>
        <v>300</v>
      </c>
      <c r="I51" s="15"/>
      <c r="J51" s="15">
        <f t="shared" ref="J51:J54" si="12">H51+I51</f>
        <v>300</v>
      </c>
      <c r="K51" s="9">
        <f t="shared" ref="K51:K54" si="13">J51-F51</f>
        <v>55</v>
      </c>
      <c r="L51" s="8">
        <f t="shared" ref="L51:L54" si="14">IF(F51="","NEW",K51/F51)</f>
        <v>0.22448979591836735</v>
      </c>
    </row>
    <row r="52" spans="1:12" ht="15.5" x14ac:dyDescent="0.35">
      <c r="A52" s="37">
        <f t="shared" si="10"/>
        <v>32</v>
      </c>
      <c r="B52" s="445" t="s">
        <v>685</v>
      </c>
      <c r="C52" s="87" t="s">
        <v>191</v>
      </c>
      <c r="D52" s="112">
        <v>110</v>
      </c>
      <c r="E52" s="15"/>
      <c r="F52" s="15">
        <f t="shared" si="11"/>
        <v>110</v>
      </c>
      <c r="G52" s="15"/>
      <c r="H52" s="112">
        <f>MROUND((D52*(1+Sheet1!$C$3)),0.1)+12</f>
        <v>125</v>
      </c>
      <c r="I52" s="15"/>
      <c r="J52" s="15">
        <f t="shared" si="12"/>
        <v>125</v>
      </c>
      <c r="K52" s="9">
        <f t="shared" si="13"/>
        <v>15</v>
      </c>
      <c r="L52" s="8">
        <f t="shared" si="14"/>
        <v>0.13636363636363635</v>
      </c>
    </row>
    <row r="53" spans="1:12" ht="15.5" x14ac:dyDescent="0.35">
      <c r="A53" s="37">
        <f t="shared" si="10"/>
        <v>33</v>
      </c>
      <c r="B53" s="445" t="s">
        <v>710</v>
      </c>
      <c r="C53" s="87" t="s">
        <v>191</v>
      </c>
      <c r="D53" s="112">
        <v>120</v>
      </c>
      <c r="E53" s="15"/>
      <c r="F53" s="15">
        <f t="shared" si="11"/>
        <v>120</v>
      </c>
      <c r="G53" s="15"/>
      <c r="H53" s="112">
        <f>MROUND((D53*(1+Sheet1!$C$3)),0.1)+176.7</f>
        <v>300</v>
      </c>
      <c r="I53" s="15"/>
      <c r="J53" s="15">
        <f t="shared" si="12"/>
        <v>300</v>
      </c>
      <c r="K53" s="9">
        <f t="shared" si="13"/>
        <v>180</v>
      </c>
      <c r="L53" s="8">
        <f t="shared" si="14"/>
        <v>1.5</v>
      </c>
    </row>
    <row r="54" spans="1:12" ht="31" x14ac:dyDescent="0.35">
      <c r="A54" s="37">
        <f t="shared" si="10"/>
        <v>34</v>
      </c>
      <c r="B54" s="445" t="s">
        <v>697</v>
      </c>
      <c r="C54" s="87" t="s">
        <v>191</v>
      </c>
      <c r="D54" s="112">
        <v>85</v>
      </c>
      <c r="E54" s="15"/>
      <c r="F54" s="15">
        <f t="shared" si="11"/>
        <v>85</v>
      </c>
      <c r="G54" s="15"/>
      <c r="H54" s="112">
        <f>MROUND((D54*(1+Sheet1!$C$3)),0.1)+12.7</f>
        <v>100.00000000000001</v>
      </c>
      <c r="I54" s="15"/>
      <c r="J54" s="15">
        <f t="shared" si="12"/>
        <v>100.00000000000001</v>
      </c>
      <c r="K54" s="9">
        <f t="shared" si="13"/>
        <v>15.000000000000014</v>
      </c>
      <c r="L54" s="8">
        <f t="shared" si="14"/>
        <v>0.1764705882352943</v>
      </c>
    </row>
    <row r="55" spans="1:12" ht="15.5" x14ac:dyDescent="0.35">
      <c r="A55" s="37"/>
      <c r="B55" s="86"/>
      <c r="C55" s="87"/>
      <c r="D55" s="112"/>
      <c r="E55" s="15"/>
      <c r="F55" s="15"/>
      <c r="G55" s="15"/>
      <c r="H55" s="112"/>
      <c r="I55" s="15"/>
      <c r="J55" s="15"/>
      <c r="K55" s="9"/>
      <c r="L55" s="8"/>
    </row>
    <row r="56" spans="1:12" ht="15.5" x14ac:dyDescent="0.35">
      <c r="A56" s="37">
        <f>A54+1</f>
        <v>35</v>
      </c>
      <c r="B56" s="86" t="s">
        <v>711</v>
      </c>
      <c r="C56" s="87" t="s">
        <v>191</v>
      </c>
      <c r="D56" s="112">
        <v>237</v>
      </c>
      <c r="E56" s="15"/>
      <c r="F56" s="15">
        <f t="shared" ref="F56:F60" si="15">D56+E56</f>
        <v>237</v>
      </c>
      <c r="G56" s="15"/>
      <c r="H56" s="112">
        <f>MROUND((D56*(1+Sheet1!$C$3)),0.1)+56.5</f>
        <v>300</v>
      </c>
      <c r="I56" s="15"/>
      <c r="J56" s="15">
        <f>H56+I56</f>
        <v>300</v>
      </c>
      <c r="K56" s="9">
        <f t="shared" ref="K56:K60" si="16">J56-F56</f>
        <v>63</v>
      </c>
      <c r="L56" s="8">
        <f t="shared" ref="L56:L60" si="17">IF(F56="","NEW",K56/F56)</f>
        <v>0.26582278481012656</v>
      </c>
    </row>
    <row r="57" spans="1:12" ht="31" x14ac:dyDescent="0.35">
      <c r="A57" s="37">
        <f t="shared" si="10"/>
        <v>36</v>
      </c>
      <c r="B57" s="86" t="s">
        <v>712</v>
      </c>
      <c r="C57" s="87" t="s">
        <v>191</v>
      </c>
      <c r="D57" s="112">
        <v>237</v>
      </c>
      <c r="E57" s="15"/>
      <c r="F57" s="15">
        <f t="shared" si="15"/>
        <v>237</v>
      </c>
      <c r="G57" s="15"/>
      <c r="H57" s="112">
        <f>MROUND((D57*(1+Sheet1!$C$3)),0.1)+56.5</f>
        <v>300</v>
      </c>
      <c r="I57" s="15"/>
      <c r="J57" s="15">
        <f>H57+I57</f>
        <v>300</v>
      </c>
      <c r="K57" s="9">
        <f t="shared" si="16"/>
        <v>63</v>
      </c>
      <c r="L57" s="8">
        <f t="shared" si="17"/>
        <v>0.26582278481012656</v>
      </c>
    </row>
    <row r="58" spans="1:12" ht="15.5" x14ac:dyDescent="0.35">
      <c r="A58" s="37">
        <f t="shared" si="10"/>
        <v>37</v>
      </c>
      <c r="B58" s="86" t="s">
        <v>713</v>
      </c>
      <c r="C58" s="87" t="s">
        <v>191</v>
      </c>
      <c r="D58" s="112">
        <v>55</v>
      </c>
      <c r="E58" s="15"/>
      <c r="F58" s="15">
        <f t="shared" si="15"/>
        <v>55</v>
      </c>
      <c r="G58" s="15"/>
      <c r="H58" s="112">
        <f>MROUND((D58*(1+Sheet1!$C$3)),0.1)+18.5</f>
        <v>75</v>
      </c>
      <c r="I58" s="15"/>
      <c r="J58" s="15">
        <f>H58+I58</f>
        <v>75</v>
      </c>
      <c r="K58" s="9">
        <f t="shared" si="16"/>
        <v>20</v>
      </c>
      <c r="L58" s="8">
        <f t="shared" si="17"/>
        <v>0.36363636363636365</v>
      </c>
    </row>
    <row r="59" spans="1:12" ht="15.5" x14ac:dyDescent="0.35">
      <c r="A59" s="37">
        <f t="shared" si="10"/>
        <v>38</v>
      </c>
      <c r="B59" s="86" t="s">
        <v>714</v>
      </c>
      <c r="C59" s="87" t="s">
        <v>191</v>
      </c>
      <c r="D59" s="112">
        <v>480</v>
      </c>
      <c r="E59" s="15"/>
      <c r="F59" s="15">
        <f t="shared" si="15"/>
        <v>480</v>
      </c>
      <c r="G59" s="15"/>
      <c r="H59" s="112">
        <f>MROUND((D59*(1+Sheet1!$C$3)),0.1)+6.8</f>
        <v>500.00000000000006</v>
      </c>
      <c r="I59" s="15"/>
      <c r="J59" s="15">
        <f>H59+I59</f>
        <v>500.00000000000006</v>
      </c>
      <c r="K59" s="9">
        <f t="shared" si="16"/>
        <v>20.000000000000057</v>
      </c>
      <c r="L59" s="8">
        <f t="shared" si="17"/>
        <v>4.1666666666666782E-2</v>
      </c>
    </row>
    <row r="60" spans="1:12" ht="15.5" x14ac:dyDescent="0.35">
      <c r="A60" s="37">
        <f t="shared" si="10"/>
        <v>39</v>
      </c>
      <c r="B60" s="86" t="s">
        <v>715</v>
      </c>
      <c r="C60" s="87" t="s">
        <v>191</v>
      </c>
      <c r="D60" s="112">
        <v>680</v>
      </c>
      <c r="E60" s="15"/>
      <c r="F60" s="15">
        <f t="shared" si="15"/>
        <v>680</v>
      </c>
      <c r="G60" s="15"/>
      <c r="H60" s="112">
        <f>MROUND((D60*(1+Sheet1!$C$3)),0.1)+51.3</f>
        <v>750</v>
      </c>
      <c r="I60" s="15"/>
      <c r="J60" s="15">
        <f>H60+I60</f>
        <v>750</v>
      </c>
      <c r="K60" s="9">
        <f t="shared" si="16"/>
        <v>70</v>
      </c>
      <c r="L60" s="8">
        <f t="shared" si="17"/>
        <v>0.10294117647058823</v>
      </c>
    </row>
    <row r="61" spans="1:12" ht="15.5" x14ac:dyDescent="0.35">
      <c r="A61" s="37"/>
      <c r="B61" s="86"/>
      <c r="C61" s="87"/>
      <c r="D61" s="112"/>
      <c r="E61" s="15"/>
      <c r="F61" s="15"/>
      <c r="G61" s="15"/>
      <c r="H61" s="112"/>
      <c r="I61" s="15"/>
      <c r="J61" s="15"/>
      <c r="K61" s="9"/>
      <c r="L61" s="8"/>
    </row>
    <row r="62" spans="1:12" ht="15.5" x14ac:dyDescent="0.35">
      <c r="A62" s="37">
        <f>A60+1</f>
        <v>40</v>
      </c>
      <c r="B62" s="86" t="s">
        <v>716</v>
      </c>
      <c r="C62" s="87" t="s">
        <v>191</v>
      </c>
      <c r="D62" s="112">
        <v>225</v>
      </c>
      <c r="E62" s="15"/>
      <c r="F62" s="15">
        <f>D62+E62</f>
        <v>225</v>
      </c>
      <c r="G62" s="15"/>
      <c r="H62" s="112">
        <f>MROUND((D62*(1+Sheet1!$C$3)),0.1)+18.8</f>
        <v>250.00000000000003</v>
      </c>
      <c r="I62" s="15"/>
      <c r="J62" s="15">
        <f>H62+I62</f>
        <v>250.00000000000003</v>
      </c>
      <c r="K62" s="9">
        <f>J62-F62</f>
        <v>25.000000000000028</v>
      </c>
      <c r="L62" s="8">
        <f>IF(F62="","NEW",K62/F62)</f>
        <v>0.11111111111111124</v>
      </c>
    </row>
    <row r="63" spans="1:12" ht="15.5" x14ac:dyDescent="0.35">
      <c r="A63" s="37"/>
      <c r="B63" s="86"/>
      <c r="C63" s="87"/>
      <c r="D63" s="112"/>
      <c r="E63" s="15"/>
      <c r="F63" s="15"/>
      <c r="G63" s="15"/>
      <c r="H63" s="112"/>
      <c r="I63" s="15"/>
      <c r="J63" s="15"/>
      <c r="K63" s="9"/>
      <c r="L63" s="8"/>
    </row>
    <row r="64" spans="1:12" ht="15.5" x14ac:dyDescent="0.35">
      <c r="A64" s="37">
        <f>A62+1</f>
        <v>41</v>
      </c>
      <c r="B64" s="86" t="s">
        <v>717</v>
      </c>
      <c r="C64" s="87" t="s">
        <v>191</v>
      </c>
      <c r="D64" s="523" t="s">
        <v>718</v>
      </c>
      <c r="E64" s="524"/>
      <c r="F64" s="525"/>
      <c r="G64" s="15"/>
      <c r="H64" s="523" t="s">
        <v>718</v>
      </c>
      <c r="I64" s="524"/>
      <c r="J64" s="525"/>
      <c r="K64" s="9"/>
      <c r="L64" s="8"/>
    </row>
    <row r="65" spans="1:12" ht="15.5" x14ac:dyDescent="0.35">
      <c r="A65" s="37">
        <f>A64+1</f>
        <v>42</v>
      </c>
      <c r="B65" s="86" t="s">
        <v>719</v>
      </c>
      <c r="C65" s="87" t="s">
        <v>191</v>
      </c>
      <c r="D65" s="523" t="s">
        <v>718</v>
      </c>
      <c r="E65" s="524"/>
      <c r="F65" s="525"/>
      <c r="G65" s="15"/>
      <c r="H65" s="523" t="s">
        <v>718</v>
      </c>
      <c r="I65" s="524"/>
      <c r="J65" s="525"/>
      <c r="K65" s="9"/>
      <c r="L65" s="8"/>
    </row>
    <row r="66" spans="1:12" ht="15.5" x14ac:dyDescent="0.35">
      <c r="A66" s="37">
        <f>A65+1</f>
        <v>43</v>
      </c>
      <c r="B66" s="86" t="s">
        <v>720</v>
      </c>
      <c r="C66" s="87" t="s">
        <v>12</v>
      </c>
      <c r="D66" s="112">
        <v>33000</v>
      </c>
      <c r="E66" s="15"/>
      <c r="F66" s="15">
        <f>D66+E66</f>
        <v>33000</v>
      </c>
      <c r="G66" s="15"/>
      <c r="H66" s="112">
        <f>MROUND((D66*(1+Sheet1!$C$3)),0.1)+1092.5</f>
        <v>35000</v>
      </c>
      <c r="I66" s="15"/>
      <c r="J66" s="15">
        <f>H66+I66</f>
        <v>35000</v>
      </c>
      <c r="K66" s="9">
        <f>J66-F66</f>
        <v>2000</v>
      </c>
      <c r="L66" s="8">
        <f>IF(F66="","NEW",K66/F66)</f>
        <v>6.0606060606060608E-2</v>
      </c>
    </row>
    <row r="67" spans="1:12" ht="15.5" x14ac:dyDescent="0.35">
      <c r="A67" s="37">
        <f>A66+1</f>
        <v>44</v>
      </c>
      <c r="B67" s="42" t="s">
        <v>721</v>
      </c>
      <c r="C67" s="87" t="s">
        <v>12</v>
      </c>
      <c r="D67" s="112">
        <v>22000</v>
      </c>
      <c r="E67" s="15"/>
      <c r="F67" s="15">
        <f>D67+E67</f>
        <v>22000</v>
      </c>
      <c r="G67" s="15"/>
      <c r="H67" s="112">
        <f>MROUND((D67*(1+Sheet1!$C$3)),0.1)+395</f>
        <v>23000</v>
      </c>
      <c r="I67" s="15"/>
      <c r="J67" s="15">
        <f>H67+I67</f>
        <v>23000</v>
      </c>
      <c r="K67" s="9">
        <f>J67-F67</f>
        <v>1000</v>
      </c>
      <c r="L67" s="8">
        <f>IF(F67="","NEW",K67/F67)</f>
        <v>4.5454545454545456E-2</v>
      </c>
    </row>
    <row r="68" spans="1:12" ht="15.5" x14ac:dyDescent="0.35">
      <c r="A68" s="37"/>
      <c r="B68" s="42"/>
      <c r="C68" s="87"/>
      <c r="D68" s="112"/>
      <c r="E68" s="15"/>
      <c r="F68" s="15"/>
      <c r="G68" s="15"/>
      <c r="H68" s="112"/>
      <c r="I68" s="15"/>
      <c r="J68" s="15"/>
      <c r="K68" s="9"/>
      <c r="L68" s="8"/>
    </row>
    <row r="69" spans="1:12" ht="54" x14ac:dyDescent="0.35">
      <c r="A69" s="37"/>
      <c r="B69" s="278" t="s">
        <v>722</v>
      </c>
      <c r="C69" s="87"/>
      <c r="D69" s="112"/>
      <c r="E69" s="15"/>
      <c r="F69" s="15"/>
      <c r="G69" s="15"/>
      <c r="H69" s="112"/>
      <c r="I69" s="15"/>
      <c r="J69" s="15"/>
      <c r="K69" s="9"/>
      <c r="L69" s="8"/>
    </row>
    <row r="70" spans="1:12" ht="31" x14ac:dyDescent="0.35">
      <c r="A70" s="37">
        <f>A67+1</f>
        <v>45</v>
      </c>
      <c r="B70" s="86" t="s">
        <v>723</v>
      </c>
      <c r="C70" s="87" t="s">
        <v>191</v>
      </c>
      <c r="D70" s="112">
        <v>525</v>
      </c>
      <c r="E70" s="112">
        <f>ROUND(D70*0.2,2)</f>
        <v>105</v>
      </c>
      <c r="F70" s="15">
        <f>D70+E70</f>
        <v>630</v>
      </c>
      <c r="G70" s="15"/>
      <c r="H70" s="112">
        <f>MROUND((D70*(1+Sheet1!$C$3)),0.1)+10.6</f>
        <v>550</v>
      </c>
      <c r="I70" s="112">
        <f>ROUND(H70*0.2,2)</f>
        <v>110</v>
      </c>
      <c r="J70" s="15">
        <f>H70+I70</f>
        <v>660</v>
      </c>
      <c r="K70" s="9">
        <f>J70-F70</f>
        <v>30</v>
      </c>
      <c r="L70" s="8">
        <f>IF(F70="","NEW",K70/F70)</f>
        <v>4.7619047619047616E-2</v>
      </c>
    </row>
    <row r="71" spans="1:12" ht="31" x14ac:dyDescent="0.35">
      <c r="A71" s="37">
        <f>A70+1</f>
        <v>46</v>
      </c>
      <c r="B71" s="86" t="s">
        <v>724</v>
      </c>
      <c r="C71" s="87" t="s">
        <v>191</v>
      </c>
      <c r="D71" s="112">
        <v>525</v>
      </c>
      <c r="E71" s="112">
        <f>ROUND(D71*0.2,2)</f>
        <v>105</v>
      </c>
      <c r="F71" s="15">
        <f>D71+E71</f>
        <v>630</v>
      </c>
      <c r="G71" s="15"/>
      <c r="H71" s="112">
        <f>MROUND((D71*(1+Sheet1!$C$3)),0.1)+10.6</f>
        <v>550</v>
      </c>
      <c r="I71" s="112">
        <f>ROUND(H71*0.2,2)</f>
        <v>110</v>
      </c>
      <c r="J71" s="15">
        <f>H71+I71</f>
        <v>660</v>
      </c>
      <c r="K71" s="9">
        <f>J71-F71</f>
        <v>30</v>
      </c>
      <c r="L71" s="8">
        <f>IF(F71="","NEW",K71/F71)</f>
        <v>4.7619047619047616E-2</v>
      </c>
    </row>
    <row r="72" spans="1:12" ht="31" x14ac:dyDescent="0.35">
      <c r="A72" s="37">
        <f>A71+1</f>
        <v>47</v>
      </c>
      <c r="B72" s="86" t="s">
        <v>725</v>
      </c>
      <c r="C72" s="87" t="s">
        <v>191</v>
      </c>
      <c r="D72" s="112">
        <v>425</v>
      </c>
      <c r="E72" s="112">
        <f>ROUND(D72*0.2,2)</f>
        <v>85</v>
      </c>
      <c r="F72" s="15">
        <f>D72+E72</f>
        <v>510</v>
      </c>
      <c r="G72" s="15"/>
      <c r="H72" s="112">
        <f>MROUND((D72*(1+Sheet1!$C$3)),0.1)+13.3</f>
        <v>450.00000000000006</v>
      </c>
      <c r="I72" s="112">
        <f>ROUND(H72*0.2,2)</f>
        <v>90</v>
      </c>
      <c r="J72" s="15">
        <f>H72+I72</f>
        <v>540</v>
      </c>
      <c r="K72" s="9">
        <f>J72-F72</f>
        <v>30</v>
      </c>
      <c r="L72" s="8">
        <f>IF(F72="","NEW",K72/F72)</f>
        <v>5.8823529411764705E-2</v>
      </c>
    </row>
    <row r="73" spans="1:12" ht="31" x14ac:dyDescent="0.35">
      <c r="A73" s="37">
        <f>A72+1</f>
        <v>48</v>
      </c>
      <c r="B73" s="86" t="s">
        <v>726</v>
      </c>
      <c r="C73" s="87" t="s">
        <v>191</v>
      </c>
      <c r="D73" s="112">
        <v>425</v>
      </c>
      <c r="E73" s="112">
        <f>ROUND(D73*0.2,2)</f>
        <v>85</v>
      </c>
      <c r="F73" s="15">
        <f>D73+E73</f>
        <v>510</v>
      </c>
      <c r="G73" s="15"/>
      <c r="H73" s="112">
        <f>MROUND((D73*(1+Sheet1!$C$3)),0.1)+13.3</f>
        <v>450.00000000000006</v>
      </c>
      <c r="I73" s="112">
        <f>ROUND(H73*0.2,2)</f>
        <v>90</v>
      </c>
      <c r="J73" s="15">
        <f>H73+I73</f>
        <v>540</v>
      </c>
      <c r="K73" s="9">
        <f>J73-F73</f>
        <v>30</v>
      </c>
      <c r="L73" s="8">
        <f>IF(F73="","NEW",K73/F73)</f>
        <v>5.8823529411764705E-2</v>
      </c>
    </row>
    <row r="74" spans="1:12" ht="15.5" x14ac:dyDescent="0.35">
      <c r="A74" s="37">
        <f>A73+1</f>
        <v>49</v>
      </c>
      <c r="B74" s="86" t="s">
        <v>727</v>
      </c>
      <c r="C74" s="87" t="s">
        <v>191</v>
      </c>
      <c r="D74" s="112">
        <v>225</v>
      </c>
      <c r="E74" s="112">
        <f>ROUND(D74*0.2,2)</f>
        <v>45</v>
      </c>
      <c r="F74" s="15">
        <f>D74+E74</f>
        <v>270</v>
      </c>
      <c r="G74" s="15"/>
      <c r="H74" s="112">
        <f>MROUND((D74*(1+Sheet1!$C$3)),0.1)+18.8</f>
        <v>250.00000000000003</v>
      </c>
      <c r="I74" s="112">
        <f>ROUND(H74*0.2,2)</f>
        <v>50</v>
      </c>
      <c r="J74" s="15">
        <f>H74+I74</f>
        <v>300</v>
      </c>
      <c r="K74" s="9">
        <f>J74-F74</f>
        <v>30</v>
      </c>
      <c r="L74" s="8">
        <f>IF(F74="","NEW",K74/F74)</f>
        <v>0.1111111111111111</v>
      </c>
    </row>
    <row r="75" spans="1:12" ht="15.5" x14ac:dyDescent="0.35">
      <c r="A75" s="37"/>
      <c r="B75" s="42"/>
      <c r="C75" s="87"/>
      <c r="D75" s="112"/>
      <c r="E75" s="15"/>
      <c r="F75" s="15"/>
      <c r="G75" s="15"/>
      <c r="H75" s="112"/>
      <c r="I75" s="15"/>
      <c r="J75" s="15"/>
      <c r="K75" s="9"/>
      <c r="L75" s="8"/>
    </row>
    <row r="76" spans="1:12" ht="18" x14ac:dyDescent="0.35">
      <c r="A76" s="37"/>
      <c r="B76" s="278" t="s">
        <v>728</v>
      </c>
      <c r="C76" s="87"/>
      <c r="D76" s="112"/>
      <c r="E76" s="112"/>
      <c r="F76" s="73"/>
      <c r="G76" s="15"/>
      <c r="H76" s="112"/>
      <c r="I76" s="112"/>
      <c r="J76" s="112"/>
      <c r="K76" s="9"/>
      <c r="L76" s="8"/>
    </row>
    <row r="77" spans="1:12" ht="31" x14ac:dyDescent="0.35">
      <c r="A77" s="37">
        <f>A74+1</f>
        <v>50</v>
      </c>
      <c r="B77" s="86" t="s">
        <v>729</v>
      </c>
      <c r="C77" s="87" t="s">
        <v>191</v>
      </c>
      <c r="D77" s="112">
        <v>300</v>
      </c>
      <c r="E77" s="15"/>
      <c r="F77" s="15">
        <f t="shared" ref="F77:F82" si="18">D77+E77</f>
        <v>300</v>
      </c>
      <c r="G77" s="15"/>
      <c r="H77" s="112">
        <f>MROUND((D77*(1+Sheet1!$C$3)),0.1)-8.3</f>
        <v>300</v>
      </c>
      <c r="I77" s="15"/>
      <c r="J77" s="15">
        <f t="shared" ref="J77:J82" si="19">H77+I77</f>
        <v>300</v>
      </c>
      <c r="K77" s="9">
        <f t="shared" ref="K77:K82" si="20">J77-F77</f>
        <v>0</v>
      </c>
      <c r="L77" s="8">
        <f t="shared" ref="L77:L82" si="21">IF(F77="","NEW",K77/F77)</f>
        <v>0</v>
      </c>
    </row>
    <row r="78" spans="1:12" ht="31" x14ac:dyDescent="0.35">
      <c r="A78" s="37">
        <f>A77+1</f>
        <v>51</v>
      </c>
      <c r="B78" s="86" t="s">
        <v>730</v>
      </c>
      <c r="C78" s="87" t="s">
        <v>191</v>
      </c>
      <c r="D78" s="112">
        <v>300</v>
      </c>
      <c r="E78" s="15"/>
      <c r="F78" s="15">
        <f t="shared" si="18"/>
        <v>300</v>
      </c>
      <c r="G78" s="15"/>
      <c r="H78" s="112">
        <f>MROUND((D78*(1+Sheet1!$C$3)),0.1)+16.7</f>
        <v>325</v>
      </c>
      <c r="I78" s="15"/>
      <c r="J78" s="15">
        <f t="shared" si="19"/>
        <v>325</v>
      </c>
      <c r="K78" s="9">
        <f t="shared" si="20"/>
        <v>25</v>
      </c>
      <c r="L78" s="8">
        <f t="shared" si="21"/>
        <v>8.3333333333333329E-2</v>
      </c>
    </row>
    <row r="79" spans="1:12" ht="31" x14ac:dyDescent="0.35">
      <c r="A79" s="37">
        <f>A78+1</f>
        <v>52</v>
      </c>
      <c r="B79" s="445" t="s">
        <v>731</v>
      </c>
      <c r="C79" s="87" t="s">
        <v>191</v>
      </c>
      <c r="D79" s="112">
        <v>247</v>
      </c>
      <c r="E79" s="15"/>
      <c r="F79" s="15">
        <f t="shared" si="18"/>
        <v>247</v>
      </c>
      <c r="G79" s="15"/>
      <c r="H79" s="112">
        <f>MROUND((D79*(1+Sheet1!$C$3)),0.1)-3.8</f>
        <v>250</v>
      </c>
      <c r="I79" s="15"/>
      <c r="J79" s="15">
        <f t="shared" si="19"/>
        <v>250</v>
      </c>
      <c r="K79" s="9">
        <f t="shared" si="20"/>
        <v>3</v>
      </c>
      <c r="L79" s="8">
        <f t="shared" si="21"/>
        <v>1.2145748987854251E-2</v>
      </c>
    </row>
    <row r="80" spans="1:12" ht="15.5" x14ac:dyDescent="0.35">
      <c r="A80" s="37">
        <f t="shared" ref="A80:A82" si="22">A79+1</f>
        <v>53</v>
      </c>
      <c r="B80" s="86" t="s">
        <v>732</v>
      </c>
      <c r="C80" s="87" t="s">
        <v>191</v>
      </c>
      <c r="D80" s="112">
        <v>270</v>
      </c>
      <c r="E80" s="15"/>
      <c r="F80" s="15">
        <f t="shared" si="18"/>
        <v>270</v>
      </c>
      <c r="G80" s="15"/>
      <c r="H80" s="112">
        <f>MROUND((D80*(1+Sheet1!$C$3)),0.1)+2.6</f>
        <v>280.00000000000006</v>
      </c>
      <c r="I80" s="15"/>
      <c r="J80" s="15">
        <f t="shared" si="19"/>
        <v>280.00000000000006</v>
      </c>
      <c r="K80" s="9">
        <f t="shared" si="20"/>
        <v>10.000000000000057</v>
      </c>
      <c r="L80" s="8">
        <f t="shared" si="21"/>
        <v>3.703703703703725E-2</v>
      </c>
    </row>
    <row r="81" spans="1:12" ht="31" x14ac:dyDescent="0.35">
      <c r="A81" s="37">
        <f t="shared" si="22"/>
        <v>54</v>
      </c>
      <c r="B81" s="86" t="s">
        <v>733</v>
      </c>
      <c r="C81" s="87" t="s">
        <v>191</v>
      </c>
      <c r="D81" s="112">
        <v>296.39999999999998</v>
      </c>
      <c r="E81" s="15"/>
      <c r="F81" s="15">
        <f t="shared" si="18"/>
        <v>296.39999999999998</v>
      </c>
      <c r="G81" s="15"/>
      <c r="H81" s="112">
        <f>MROUND((D81*(1+Sheet1!$C$3)),0.1)-4.6</f>
        <v>300</v>
      </c>
      <c r="I81" s="15"/>
      <c r="J81" s="15">
        <f t="shared" si="19"/>
        <v>300</v>
      </c>
      <c r="K81" s="9">
        <f t="shared" ref="K81" si="23">J81-F81</f>
        <v>3.6000000000000227</v>
      </c>
      <c r="L81" s="8">
        <f t="shared" ref="L81" si="24">IF(F81="","NEW",K81/F81)</f>
        <v>1.2145748987854329E-2</v>
      </c>
    </row>
    <row r="82" spans="1:12" ht="15.5" x14ac:dyDescent="0.35">
      <c r="A82" s="37">
        <f t="shared" si="22"/>
        <v>55</v>
      </c>
      <c r="B82" s="86" t="s">
        <v>734</v>
      </c>
      <c r="C82" s="87" t="s">
        <v>191</v>
      </c>
      <c r="D82" s="112">
        <v>390</v>
      </c>
      <c r="E82" s="15"/>
      <c r="F82" s="15">
        <f t="shared" si="18"/>
        <v>390</v>
      </c>
      <c r="G82" s="15"/>
      <c r="H82" s="112">
        <f>MROUND((D82*(1+Sheet1!$C$3)),0.1)-0.7</f>
        <v>400.00000000000006</v>
      </c>
      <c r="I82" s="15"/>
      <c r="J82" s="15">
        <f t="shared" si="19"/>
        <v>400.00000000000006</v>
      </c>
      <c r="K82" s="9">
        <f t="shared" si="20"/>
        <v>10.000000000000057</v>
      </c>
      <c r="L82" s="8">
        <f t="shared" si="21"/>
        <v>2.5641025641025786E-2</v>
      </c>
    </row>
    <row r="83" spans="1:12" ht="15.5" x14ac:dyDescent="0.35">
      <c r="A83" s="37"/>
      <c r="B83" s="86"/>
      <c r="C83" s="87"/>
      <c r="D83" s="112"/>
      <c r="E83" s="15"/>
      <c r="F83" s="15"/>
      <c r="G83" s="15"/>
      <c r="H83" s="112"/>
      <c r="I83" s="15"/>
      <c r="J83" s="15"/>
      <c r="K83" s="9"/>
      <c r="L83" s="8"/>
    </row>
    <row r="84" spans="1:12" ht="15.5" x14ac:dyDescent="0.35">
      <c r="A84" s="37"/>
      <c r="B84" s="86"/>
      <c r="C84" s="87"/>
      <c r="D84" s="112"/>
      <c r="E84" s="15"/>
      <c r="F84" s="15"/>
      <c r="G84" s="15"/>
      <c r="H84" s="112"/>
      <c r="I84" s="15"/>
      <c r="J84" s="15"/>
      <c r="K84" s="9"/>
      <c r="L84" s="8"/>
    </row>
    <row r="85" spans="1:12" ht="18" x14ac:dyDescent="0.35">
      <c r="A85" s="136"/>
      <c r="B85" s="269" t="s">
        <v>735</v>
      </c>
      <c r="C85" s="87"/>
      <c r="D85" s="112"/>
      <c r="E85" s="15"/>
      <c r="F85" s="15"/>
      <c r="G85" s="15"/>
      <c r="H85" s="112"/>
      <c r="I85" s="15"/>
      <c r="J85" s="15"/>
      <c r="K85" s="9"/>
      <c r="L85" s="163"/>
    </row>
    <row r="86" spans="1:12" ht="15.5" x14ac:dyDescent="0.35">
      <c r="A86" s="37">
        <f>A82+1</f>
        <v>56</v>
      </c>
      <c r="B86" s="86" t="s">
        <v>736</v>
      </c>
      <c r="C86" s="87" t="s">
        <v>191</v>
      </c>
      <c r="D86" s="112">
        <v>1850</v>
      </c>
      <c r="E86" s="65"/>
      <c r="F86" s="15">
        <f t="shared" ref="F86:F93" si="25">D86+E86</f>
        <v>1850</v>
      </c>
      <c r="G86" s="15"/>
      <c r="H86" s="112">
        <f>MROUND((D86*(1+Sheet1!$C$3)),0.1)-0.9</f>
        <v>1900</v>
      </c>
      <c r="I86" s="65"/>
      <c r="J86" s="15">
        <f t="shared" ref="J86:J89" si="26">H86+I86</f>
        <v>1900</v>
      </c>
      <c r="K86" s="9">
        <f t="shared" ref="K86:K89" si="27">J86-F86</f>
        <v>50</v>
      </c>
      <c r="L86" s="8">
        <f t="shared" ref="L86:L89" si="28">IF(F86="","NEW",K86/F86)</f>
        <v>2.7027027027027029E-2</v>
      </c>
    </row>
    <row r="87" spans="1:12" ht="31" x14ac:dyDescent="0.35">
      <c r="A87" s="37">
        <f t="shared" ref="A87:A106" si="29">A86+1</f>
        <v>57</v>
      </c>
      <c r="B87" s="86" t="s">
        <v>737</v>
      </c>
      <c r="C87" s="87" t="s">
        <v>191</v>
      </c>
      <c r="D87" s="112">
        <v>150</v>
      </c>
      <c r="E87" s="65"/>
      <c r="F87" s="15">
        <f t="shared" si="25"/>
        <v>150</v>
      </c>
      <c r="G87" s="15"/>
      <c r="H87" s="112">
        <f>MROUND((D87*(1+Sheet1!$C$3)),0.1)+0.9</f>
        <v>155.00000000000003</v>
      </c>
      <c r="I87" s="65"/>
      <c r="J87" s="15">
        <f t="shared" si="26"/>
        <v>155.00000000000003</v>
      </c>
      <c r="K87" s="9">
        <f t="shared" si="27"/>
        <v>5.0000000000000284</v>
      </c>
      <c r="L87" s="8">
        <f t="shared" si="28"/>
        <v>3.333333333333352E-2</v>
      </c>
    </row>
    <row r="88" spans="1:12" ht="31" x14ac:dyDescent="0.35">
      <c r="A88" s="37">
        <f t="shared" si="29"/>
        <v>58</v>
      </c>
      <c r="B88" s="86" t="s">
        <v>738</v>
      </c>
      <c r="C88" s="87" t="s">
        <v>191</v>
      </c>
      <c r="D88" s="112">
        <v>500</v>
      </c>
      <c r="E88" s="65"/>
      <c r="F88" s="15">
        <f t="shared" si="25"/>
        <v>500</v>
      </c>
      <c r="G88" s="15"/>
      <c r="H88" s="112">
        <f>MROUND((D88*(1+Sheet1!$C$3)),0.1)+1.2</f>
        <v>515.00000000000011</v>
      </c>
      <c r="I88" s="65"/>
      <c r="J88" s="15">
        <f t="shared" si="26"/>
        <v>515.00000000000011</v>
      </c>
      <c r="K88" s="9">
        <f t="shared" si="27"/>
        <v>15.000000000000114</v>
      </c>
      <c r="L88" s="8">
        <f t="shared" si="28"/>
        <v>3.0000000000000228E-2</v>
      </c>
    </row>
    <row r="89" spans="1:12" ht="46.5" x14ac:dyDescent="0.35">
      <c r="A89" s="37">
        <f t="shared" si="29"/>
        <v>59</v>
      </c>
      <c r="B89" s="86" t="s">
        <v>739</v>
      </c>
      <c r="C89" s="87" t="s">
        <v>191</v>
      </c>
      <c r="D89" s="112">
        <v>1980</v>
      </c>
      <c r="E89" s="65"/>
      <c r="F89" s="15">
        <f t="shared" si="25"/>
        <v>1980</v>
      </c>
      <c r="G89" s="15"/>
      <c r="H89" s="112">
        <f>MROUND((D89*(1+Sheet1!$C$3)),0.1)-34.5</f>
        <v>2000</v>
      </c>
      <c r="I89" s="65"/>
      <c r="J89" s="15">
        <f t="shared" si="26"/>
        <v>2000</v>
      </c>
      <c r="K89" s="9">
        <f t="shared" si="27"/>
        <v>20</v>
      </c>
      <c r="L89" s="8">
        <f t="shared" si="28"/>
        <v>1.0101010101010102E-2</v>
      </c>
    </row>
    <row r="90" spans="1:12" ht="15.5" x14ac:dyDescent="0.35">
      <c r="A90" s="37">
        <f t="shared" si="29"/>
        <v>60</v>
      </c>
      <c r="B90" s="86" t="s">
        <v>740</v>
      </c>
      <c r="C90" s="87" t="s">
        <v>191</v>
      </c>
      <c r="D90" s="112">
        <v>1850</v>
      </c>
      <c r="E90" s="65"/>
      <c r="F90" s="15">
        <f t="shared" si="25"/>
        <v>1850</v>
      </c>
      <c r="G90" s="15"/>
      <c r="H90" s="523" t="s">
        <v>1494</v>
      </c>
      <c r="I90" s="524"/>
      <c r="J90" s="525"/>
      <c r="K90" s="9"/>
      <c r="L90" s="8"/>
    </row>
    <row r="91" spans="1:12" ht="15.5" x14ac:dyDescent="0.35">
      <c r="A91" s="37">
        <f t="shared" si="29"/>
        <v>61</v>
      </c>
      <c r="B91" s="86" t="s">
        <v>741</v>
      </c>
      <c r="C91" s="87" t="s">
        <v>191</v>
      </c>
      <c r="D91" s="112">
        <v>1850</v>
      </c>
      <c r="E91" s="65"/>
      <c r="F91" s="15">
        <f t="shared" si="25"/>
        <v>1850</v>
      </c>
      <c r="G91" s="15"/>
      <c r="H91" s="523" t="s">
        <v>1494</v>
      </c>
      <c r="I91" s="524"/>
      <c r="J91" s="525"/>
      <c r="K91" s="9"/>
      <c r="L91" s="8"/>
    </row>
    <row r="92" spans="1:12" ht="15.5" x14ac:dyDescent="0.35">
      <c r="A92" s="37">
        <f t="shared" si="29"/>
        <v>62</v>
      </c>
      <c r="B92" s="86" t="s">
        <v>742</v>
      </c>
      <c r="C92" s="87" t="s">
        <v>191</v>
      </c>
      <c r="D92" s="112">
        <v>1850</v>
      </c>
      <c r="E92" s="65"/>
      <c r="F92" s="15">
        <f t="shared" si="25"/>
        <v>1850</v>
      </c>
      <c r="G92" s="15"/>
      <c r="H92" s="523" t="s">
        <v>1494</v>
      </c>
      <c r="I92" s="524"/>
      <c r="J92" s="525"/>
      <c r="K92" s="9"/>
      <c r="L92" s="8"/>
    </row>
    <row r="93" spans="1:12" ht="15.5" x14ac:dyDescent="0.35">
      <c r="A93" s="37">
        <f t="shared" si="29"/>
        <v>63</v>
      </c>
      <c r="B93" s="86" t="s">
        <v>742</v>
      </c>
      <c r="C93" s="87" t="s">
        <v>191</v>
      </c>
      <c r="D93" s="112">
        <v>2500</v>
      </c>
      <c r="E93" s="65"/>
      <c r="F93" s="15">
        <f t="shared" si="25"/>
        <v>2500</v>
      </c>
      <c r="G93" s="15"/>
      <c r="H93" s="523" t="s">
        <v>1494</v>
      </c>
      <c r="I93" s="524"/>
      <c r="J93" s="525"/>
      <c r="K93" s="9"/>
      <c r="L93" s="8"/>
    </row>
    <row r="94" spans="1:12" ht="15.75" customHeight="1" x14ac:dyDescent="0.35">
      <c r="A94" s="37">
        <f t="shared" si="29"/>
        <v>64</v>
      </c>
      <c r="B94" s="86" t="s">
        <v>743</v>
      </c>
      <c r="C94" s="87" t="s">
        <v>191</v>
      </c>
      <c r="D94" s="523" t="s">
        <v>744</v>
      </c>
      <c r="E94" s="524"/>
      <c r="F94" s="524"/>
      <c r="G94" s="524"/>
      <c r="H94" s="524"/>
      <c r="I94" s="524"/>
      <c r="J94" s="525"/>
      <c r="K94" s="9"/>
      <c r="L94" s="8"/>
    </row>
    <row r="95" spans="1:12" ht="15.5" x14ac:dyDescent="0.35">
      <c r="A95" s="37">
        <f t="shared" si="29"/>
        <v>65</v>
      </c>
      <c r="B95" s="86" t="s">
        <v>745</v>
      </c>
      <c r="C95" s="87" t="s">
        <v>191</v>
      </c>
      <c r="D95" s="523" t="s">
        <v>746</v>
      </c>
      <c r="E95" s="524"/>
      <c r="F95" s="524"/>
      <c r="G95" s="524"/>
      <c r="H95" s="524"/>
      <c r="I95" s="524"/>
      <c r="J95" s="525"/>
      <c r="K95" s="9"/>
      <c r="L95" s="8"/>
    </row>
    <row r="96" spans="1:12" ht="15.5" x14ac:dyDescent="0.35">
      <c r="A96" s="37">
        <f t="shared" si="29"/>
        <v>66</v>
      </c>
      <c r="B96" s="86" t="s">
        <v>747</v>
      </c>
      <c r="C96" s="87" t="s">
        <v>191</v>
      </c>
      <c r="D96" s="112">
        <v>107.10000000000001</v>
      </c>
      <c r="E96" s="65">
        <f>ROUND(D96*0.2,2)</f>
        <v>21.42</v>
      </c>
      <c r="F96" s="15">
        <f>D96+E96</f>
        <v>128.52000000000001</v>
      </c>
      <c r="G96" s="15"/>
      <c r="H96" s="112">
        <f>MROUND((D96*(1+Sheet1!$C$3)),0.1)+2.5</f>
        <v>112.5</v>
      </c>
      <c r="I96" s="65">
        <f>ROUND(H96*0.2,2)</f>
        <v>22.5</v>
      </c>
      <c r="J96" s="15">
        <f>H96+I96</f>
        <v>135</v>
      </c>
      <c r="K96" s="9">
        <f>J96-F96</f>
        <v>6.4799999999999898</v>
      </c>
      <c r="L96" s="8">
        <f>IF(F96="","NEW",K96/F96)</f>
        <v>5.0420168067226809E-2</v>
      </c>
    </row>
    <row r="97" spans="1:12" ht="31" x14ac:dyDescent="0.35">
      <c r="A97" s="37">
        <f t="shared" si="29"/>
        <v>67</v>
      </c>
      <c r="B97" s="86" t="s">
        <v>748</v>
      </c>
      <c r="C97" s="87" t="s">
        <v>191</v>
      </c>
      <c r="D97" s="523" t="s">
        <v>749</v>
      </c>
      <c r="E97" s="524"/>
      <c r="F97" s="524"/>
      <c r="G97" s="524"/>
      <c r="H97" s="524"/>
      <c r="I97" s="524"/>
      <c r="J97" s="525"/>
      <c r="K97" s="9"/>
      <c r="L97" s="8"/>
    </row>
    <row r="98" spans="1:12" ht="31" x14ac:dyDescent="0.35">
      <c r="A98" s="37">
        <f t="shared" si="29"/>
        <v>68</v>
      </c>
      <c r="B98" s="86" t="s">
        <v>750</v>
      </c>
      <c r="C98" s="87" t="s">
        <v>191</v>
      </c>
      <c r="D98" s="164">
        <v>104.55</v>
      </c>
      <c r="E98" s="65">
        <f>ROUND(D98*0.2,2)</f>
        <v>20.91</v>
      </c>
      <c r="F98" s="65">
        <f>D98+E98</f>
        <v>125.46</v>
      </c>
      <c r="G98" s="65"/>
      <c r="H98" s="112">
        <f>MROUND((D98*(1+Sheet1!$C$3)),0.1)+0.93</f>
        <v>108.33000000000001</v>
      </c>
      <c r="I98" s="65">
        <f>ROUND(H98*0.2,2)</f>
        <v>21.67</v>
      </c>
      <c r="J98" s="15">
        <f>H98+I98</f>
        <v>130</v>
      </c>
      <c r="K98" s="9">
        <f>J98-F98</f>
        <v>4.5400000000000063</v>
      </c>
      <c r="L98" s="8">
        <f>IF(F98="","NEW",K98/F98)</f>
        <v>3.618683245655991E-2</v>
      </c>
    </row>
    <row r="99" spans="1:12" ht="15.75" customHeight="1" x14ac:dyDescent="0.35">
      <c r="A99" s="37">
        <f t="shared" si="29"/>
        <v>69</v>
      </c>
      <c r="B99" s="86" t="s">
        <v>751</v>
      </c>
      <c r="C99" s="87" t="s">
        <v>191</v>
      </c>
      <c r="D99" s="523" t="s">
        <v>744</v>
      </c>
      <c r="E99" s="524"/>
      <c r="F99" s="524"/>
      <c r="G99" s="524"/>
      <c r="H99" s="524"/>
      <c r="I99" s="524"/>
      <c r="J99" s="525"/>
      <c r="K99" s="9"/>
      <c r="L99" s="8"/>
    </row>
    <row r="100" spans="1:12" ht="15.5" x14ac:dyDescent="0.35">
      <c r="A100" s="37">
        <f t="shared" si="29"/>
        <v>70</v>
      </c>
      <c r="B100" s="86" t="s">
        <v>752</v>
      </c>
      <c r="C100" s="87" t="s">
        <v>191</v>
      </c>
      <c r="D100" s="164">
        <v>52.274999999999999</v>
      </c>
      <c r="E100" s="65">
        <f>ROUND(D100*0.2,2)</f>
        <v>10.46</v>
      </c>
      <c r="F100" s="65">
        <f>D100+E100</f>
        <v>62.734999999999999</v>
      </c>
      <c r="G100" s="65"/>
      <c r="H100" s="112">
        <f>MROUND((D100*(1+Sheet1!$C$3)),0.1)+0.47</f>
        <v>54.17</v>
      </c>
      <c r="I100" s="65">
        <f>ROUND(H100*0.2,2)</f>
        <v>10.83</v>
      </c>
      <c r="J100" s="15">
        <f t="shared" ref="J100:J106" si="30">H100+I100</f>
        <v>65</v>
      </c>
      <c r="K100" s="9">
        <f t="shared" ref="K100:K106" si="31">J100-F100</f>
        <v>2.2650000000000006</v>
      </c>
      <c r="L100" s="8">
        <f t="shared" ref="L100:L106" si="32">IF(F100="","NEW",K100/F100)</f>
        <v>3.6104248027416921E-2</v>
      </c>
    </row>
    <row r="101" spans="1:12" ht="15.5" x14ac:dyDescent="0.35">
      <c r="A101" s="37">
        <f t="shared" si="29"/>
        <v>71</v>
      </c>
      <c r="B101" s="86" t="s">
        <v>753</v>
      </c>
      <c r="C101" s="87" t="s">
        <v>191</v>
      </c>
      <c r="D101" s="164">
        <v>115.005</v>
      </c>
      <c r="E101" s="65">
        <f>ROUND(D101*0.2,2)</f>
        <v>23</v>
      </c>
      <c r="F101" s="65">
        <f>D101+E101</f>
        <v>138.005</v>
      </c>
      <c r="G101" s="65"/>
      <c r="H101" s="112">
        <f>MROUND((D101*(1+Sheet1!$C$3)),0.1)+2.63</f>
        <v>120.83</v>
      </c>
      <c r="I101" s="65">
        <f>ROUND(H101*0.2,2)</f>
        <v>24.17</v>
      </c>
      <c r="J101" s="15">
        <f t="shared" si="30"/>
        <v>145</v>
      </c>
      <c r="K101" s="9">
        <f t="shared" si="31"/>
        <v>6.9950000000000045</v>
      </c>
      <c r="L101" s="8">
        <f t="shared" si="32"/>
        <v>5.0686569327198325E-2</v>
      </c>
    </row>
    <row r="102" spans="1:12" ht="15.5" x14ac:dyDescent="0.35">
      <c r="A102" s="37">
        <f t="shared" si="29"/>
        <v>72</v>
      </c>
      <c r="B102" s="86" t="s">
        <v>754</v>
      </c>
      <c r="C102" s="87" t="s">
        <v>191</v>
      </c>
      <c r="D102" s="164">
        <v>115.005</v>
      </c>
      <c r="E102" s="65">
        <f>ROUND(D102*0.2,2)</f>
        <v>23</v>
      </c>
      <c r="F102" s="65">
        <f>D102+E102</f>
        <v>138.005</v>
      </c>
      <c r="G102" s="65"/>
      <c r="H102" s="112">
        <f>MROUND((D102*(1+Sheet1!$C$3)),0.1)+2.63</f>
        <v>120.83</v>
      </c>
      <c r="I102" s="65">
        <f>ROUND(H102*0.2,2)</f>
        <v>24.17</v>
      </c>
      <c r="J102" s="15">
        <f t="shared" si="30"/>
        <v>145</v>
      </c>
      <c r="K102" s="9">
        <f t="shared" si="31"/>
        <v>6.9950000000000045</v>
      </c>
      <c r="L102" s="8">
        <f t="shared" si="32"/>
        <v>5.0686569327198325E-2</v>
      </c>
    </row>
    <row r="103" spans="1:12" ht="15.5" x14ac:dyDescent="0.35">
      <c r="A103" s="37">
        <f t="shared" si="29"/>
        <v>73</v>
      </c>
      <c r="B103" s="86" t="s">
        <v>755</v>
      </c>
      <c r="C103" s="87" t="s">
        <v>191</v>
      </c>
      <c r="D103" s="164">
        <v>73.185000000000002</v>
      </c>
      <c r="E103" s="65">
        <f>ROUND(D103*0.2,2)</f>
        <v>14.64</v>
      </c>
      <c r="F103" s="65">
        <f>D103+E103</f>
        <v>87.825000000000003</v>
      </c>
      <c r="G103" s="65"/>
      <c r="H103" s="112">
        <f>MROUND((D103*(1+Sheet1!$C$3)),0.1)+3.97</f>
        <v>79.17</v>
      </c>
      <c r="I103" s="65">
        <f>ROUND(H103*0.2,2)</f>
        <v>15.83</v>
      </c>
      <c r="J103" s="15">
        <f t="shared" si="30"/>
        <v>95</v>
      </c>
      <c r="K103" s="9">
        <f t="shared" si="31"/>
        <v>7.1749999999999972</v>
      </c>
      <c r="L103" s="8">
        <f t="shared" si="32"/>
        <v>8.1696555650441177E-2</v>
      </c>
    </row>
    <row r="104" spans="1:12" ht="15.5" x14ac:dyDescent="0.35">
      <c r="A104" s="37">
        <f t="shared" si="29"/>
        <v>74</v>
      </c>
      <c r="B104" s="86" t="s">
        <v>756</v>
      </c>
      <c r="C104" s="87"/>
      <c r="D104" s="27">
        <v>225</v>
      </c>
      <c r="E104" s="65"/>
      <c r="F104" s="65">
        <f t="shared" ref="F104:F106" si="33">D104+E104</f>
        <v>225</v>
      </c>
      <c r="G104" s="65"/>
      <c r="H104" s="112">
        <f>MROUND((D104*(1+Sheet1!$C$3)),0.1)+3.8</f>
        <v>235.00000000000003</v>
      </c>
      <c r="I104" s="65"/>
      <c r="J104" s="15">
        <f t="shared" si="30"/>
        <v>235.00000000000003</v>
      </c>
      <c r="K104" s="9">
        <f t="shared" si="31"/>
        <v>10.000000000000028</v>
      </c>
      <c r="L104" s="8">
        <f t="shared" si="32"/>
        <v>4.4444444444444571E-2</v>
      </c>
    </row>
    <row r="105" spans="1:12" ht="15.5" x14ac:dyDescent="0.35">
      <c r="A105" s="37">
        <f t="shared" si="29"/>
        <v>75</v>
      </c>
      <c r="B105" s="86" t="s">
        <v>757</v>
      </c>
      <c r="C105" s="87"/>
      <c r="D105" s="27">
        <v>225</v>
      </c>
      <c r="E105" s="65"/>
      <c r="F105" s="65">
        <f t="shared" si="33"/>
        <v>225</v>
      </c>
      <c r="G105" s="65"/>
      <c r="H105" s="112">
        <f>MROUND((D105*(1+Sheet1!$C$3)),0.1)+3.8</f>
        <v>235.00000000000003</v>
      </c>
      <c r="I105" s="65"/>
      <c r="J105" s="15">
        <f t="shared" si="30"/>
        <v>235.00000000000003</v>
      </c>
      <c r="K105" s="9">
        <f t="shared" si="31"/>
        <v>10.000000000000028</v>
      </c>
      <c r="L105" s="8">
        <f t="shared" si="32"/>
        <v>4.4444444444444571E-2</v>
      </c>
    </row>
    <row r="106" spans="1:12" ht="15.5" x14ac:dyDescent="0.35">
      <c r="A106" s="37">
        <f t="shared" si="29"/>
        <v>76</v>
      </c>
      <c r="B106" s="86" t="s">
        <v>758</v>
      </c>
      <c r="C106" s="87"/>
      <c r="D106" s="27">
        <v>525</v>
      </c>
      <c r="E106" s="65"/>
      <c r="F106" s="65">
        <f t="shared" si="33"/>
        <v>525</v>
      </c>
      <c r="G106" s="65"/>
      <c r="H106" s="112">
        <f>MROUND((D106*(1+Sheet1!$C$3)),0.1)+10.6</f>
        <v>550</v>
      </c>
      <c r="I106" s="65"/>
      <c r="J106" s="15">
        <f t="shared" si="30"/>
        <v>550</v>
      </c>
      <c r="K106" s="9">
        <f t="shared" si="31"/>
        <v>25</v>
      </c>
      <c r="L106" s="8">
        <f t="shared" si="32"/>
        <v>4.7619047619047616E-2</v>
      </c>
    </row>
    <row r="107" spans="1:12" ht="15.5" x14ac:dyDescent="0.35">
      <c r="A107" s="37"/>
      <c r="B107" s="132"/>
      <c r="C107" s="87"/>
      <c r="D107" s="166"/>
      <c r="E107" s="15"/>
      <c r="F107" s="15"/>
      <c r="G107" s="15"/>
      <c r="H107" s="27"/>
      <c r="I107" s="15"/>
      <c r="J107" s="167"/>
      <c r="K107" s="9"/>
      <c r="L107" s="8"/>
    </row>
    <row r="108" spans="1:12" ht="18" x14ac:dyDescent="0.35">
      <c r="A108" s="136"/>
      <c r="B108" s="269" t="s">
        <v>759</v>
      </c>
      <c r="C108" s="87"/>
      <c r="D108" s="112"/>
      <c r="E108" s="15"/>
      <c r="F108" s="15"/>
      <c r="G108" s="15"/>
      <c r="H108" s="112"/>
      <c r="I108" s="15"/>
      <c r="J108" s="15"/>
      <c r="K108" s="9"/>
      <c r="L108" s="163"/>
    </row>
    <row r="109" spans="1:12" ht="15.5" x14ac:dyDescent="0.35">
      <c r="A109" s="37">
        <f>A106+1</f>
        <v>77</v>
      </c>
      <c r="B109" s="86" t="s">
        <v>760</v>
      </c>
      <c r="C109" s="87" t="s">
        <v>191</v>
      </c>
      <c r="D109" s="168"/>
      <c r="E109" s="15"/>
      <c r="F109" s="15"/>
      <c r="G109" s="15"/>
      <c r="H109" s="169"/>
      <c r="I109" s="15"/>
      <c r="J109" s="170"/>
      <c r="K109" s="9"/>
      <c r="L109" s="137"/>
    </row>
    <row r="110" spans="1:12" ht="15.5" x14ac:dyDescent="0.35">
      <c r="A110" s="37">
        <f t="shared" ref="A110" si="34">A109+1</f>
        <v>78</v>
      </c>
      <c r="B110" s="86" t="s">
        <v>761</v>
      </c>
      <c r="C110" s="87" t="s">
        <v>191</v>
      </c>
      <c r="D110" s="27">
        <v>850</v>
      </c>
      <c r="E110" s="65"/>
      <c r="F110" s="15">
        <f t="shared" ref="F110" si="35">D110+E110</f>
        <v>850</v>
      </c>
      <c r="G110" s="15"/>
      <c r="H110" s="112">
        <f>MROUND((D110*(1+Sheet1!$C$3)),0.1)+1.6</f>
        <v>875.00000000000011</v>
      </c>
      <c r="I110" s="65"/>
      <c r="J110" s="15">
        <f t="shared" ref="J110" si="36">H110+I110</f>
        <v>875.00000000000011</v>
      </c>
      <c r="K110" s="9">
        <f t="shared" ref="K110" si="37">J110-F110</f>
        <v>25.000000000000114</v>
      </c>
      <c r="L110" s="8">
        <f t="shared" ref="L110" si="38">IF(F110="","NEW",K110/F110)</f>
        <v>2.9411764705882488E-2</v>
      </c>
    </row>
    <row r="111" spans="1:12" ht="15.5" x14ac:dyDescent="0.35">
      <c r="A111" s="37"/>
      <c r="B111" s="132"/>
      <c r="C111" s="87"/>
      <c r="D111" s="168"/>
      <c r="E111" s="15"/>
      <c r="F111" s="15"/>
      <c r="G111" s="15"/>
      <c r="H111" s="169"/>
      <c r="I111" s="15"/>
      <c r="J111" s="170"/>
      <c r="K111" s="9"/>
      <c r="L111" s="137"/>
    </row>
    <row r="112" spans="1:12" ht="18" x14ac:dyDescent="0.35">
      <c r="A112" s="136"/>
      <c r="B112" s="269" t="s">
        <v>762</v>
      </c>
      <c r="C112" s="87"/>
      <c r="D112" s="112"/>
      <c r="E112" s="15"/>
      <c r="F112" s="15"/>
      <c r="G112" s="15"/>
      <c r="H112" s="112"/>
      <c r="I112" s="15"/>
      <c r="J112" s="15"/>
      <c r="K112" s="9"/>
      <c r="L112" s="163"/>
    </row>
    <row r="113" spans="1:12" ht="15.5" x14ac:dyDescent="0.35">
      <c r="A113" s="37">
        <f>A110+1</f>
        <v>79</v>
      </c>
      <c r="B113" s="86" t="s">
        <v>763</v>
      </c>
      <c r="C113" s="87" t="s">
        <v>191</v>
      </c>
      <c r="D113" s="523" t="s">
        <v>764</v>
      </c>
      <c r="E113" s="524"/>
      <c r="F113" s="524"/>
      <c r="G113" s="524"/>
      <c r="H113" s="524"/>
      <c r="I113" s="524"/>
      <c r="J113" s="525"/>
      <c r="K113" s="9"/>
      <c r="L113" s="137"/>
    </row>
    <row r="114" spans="1:12" ht="31" x14ac:dyDescent="0.35">
      <c r="A114" s="37">
        <f>A113+1</f>
        <v>80</v>
      </c>
      <c r="B114" s="86" t="s">
        <v>765</v>
      </c>
      <c r="C114" s="87" t="s">
        <v>191</v>
      </c>
      <c r="D114" s="523" t="s">
        <v>764</v>
      </c>
      <c r="E114" s="524"/>
      <c r="F114" s="524"/>
      <c r="G114" s="524"/>
      <c r="H114" s="524"/>
      <c r="I114" s="524"/>
      <c r="J114" s="525"/>
      <c r="K114" s="9"/>
      <c r="L114" s="137"/>
    </row>
    <row r="115" spans="1:12" ht="15.5" x14ac:dyDescent="0.35">
      <c r="A115" s="37"/>
      <c r="B115" s="86"/>
      <c r="C115" s="87"/>
      <c r="D115" s="15"/>
      <c r="E115" s="15"/>
      <c r="F115" s="15"/>
      <c r="G115" s="15"/>
      <c r="H115" s="112"/>
      <c r="I115" s="15"/>
      <c r="J115" s="15"/>
      <c r="K115" s="9"/>
      <c r="L115" s="137"/>
    </row>
    <row r="116" spans="1:12" ht="18" x14ac:dyDescent="0.35">
      <c r="A116" s="136"/>
      <c r="B116" s="269" t="s">
        <v>766</v>
      </c>
      <c r="C116" s="87"/>
      <c r="D116" s="112"/>
      <c r="E116" s="15"/>
      <c r="F116" s="15"/>
      <c r="G116" s="15"/>
      <c r="H116" s="112"/>
      <c r="I116" s="15"/>
      <c r="J116" s="15"/>
      <c r="K116" s="9"/>
      <c r="L116" s="163"/>
    </row>
    <row r="117" spans="1:12" ht="16" customHeight="1" x14ac:dyDescent="0.35">
      <c r="A117" s="37">
        <f>A114+1</f>
        <v>81</v>
      </c>
      <c r="B117" s="86" t="s">
        <v>767</v>
      </c>
      <c r="C117" s="87" t="s">
        <v>19</v>
      </c>
      <c r="D117" s="164">
        <v>235.24260000000001</v>
      </c>
      <c r="E117" s="15"/>
      <c r="F117" s="15">
        <f>D117+E117</f>
        <v>235.24260000000001</v>
      </c>
      <c r="G117" s="446"/>
      <c r="H117" s="112">
        <f>MROUND((D117*(1+Sheet1!$C$3)),0.1)+8.3</f>
        <v>250.00000000000003</v>
      </c>
      <c r="I117" s="65"/>
      <c r="J117" s="15">
        <f>H117+I117</f>
        <v>250.00000000000003</v>
      </c>
      <c r="K117" s="9">
        <f>J117-F117</f>
        <v>14.757400000000018</v>
      </c>
      <c r="L117" s="8">
        <f>IF(F117="","NEW",K117/F117)</f>
        <v>6.2732685321451209E-2</v>
      </c>
    </row>
    <row r="118" spans="1:12" ht="16" customHeight="1" x14ac:dyDescent="0.35">
      <c r="A118" s="37">
        <f>A117+1</f>
        <v>82</v>
      </c>
      <c r="B118" s="86" t="s">
        <v>768</v>
      </c>
      <c r="C118" s="87" t="s">
        <v>19</v>
      </c>
      <c r="D118" s="112">
        <v>2666.28</v>
      </c>
      <c r="E118" s="15"/>
      <c r="F118" s="15">
        <f>D118+E118</f>
        <v>2666.28</v>
      </c>
      <c r="G118" s="15"/>
      <c r="H118" s="112">
        <f>MROUND((D118*(1+Sheet1!$C$3)),0.1)+10.4</f>
        <v>2750.0000000000005</v>
      </c>
      <c r="I118" s="15"/>
      <c r="J118" s="15">
        <f>H118+I118</f>
        <v>2750.0000000000005</v>
      </c>
      <c r="K118" s="9">
        <f>J118-F118</f>
        <v>83.720000000000255</v>
      </c>
      <c r="L118" s="8">
        <f>IF(F118="","NEW",K118/F118)</f>
        <v>3.1399552935175691E-2</v>
      </c>
    </row>
    <row r="119" spans="1:12" ht="15.5" x14ac:dyDescent="0.35">
      <c r="A119" s="37"/>
      <c r="B119" s="86"/>
      <c r="C119" s="87"/>
      <c r="D119" s="171"/>
      <c r="E119" s="15"/>
      <c r="F119" s="15"/>
      <c r="G119" s="15"/>
      <c r="H119" s="171"/>
      <c r="I119" s="15"/>
      <c r="J119" s="15"/>
      <c r="K119" s="9"/>
      <c r="L119" s="8"/>
    </row>
    <row r="120" spans="1:12" ht="18" x14ac:dyDescent="0.35">
      <c r="A120" s="136"/>
      <c r="B120" s="269" t="s">
        <v>769</v>
      </c>
      <c r="C120" s="87"/>
      <c r="D120" s="112"/>
      <c r="E120" s="15"/>
      <c r="F120" s="15"/>
      <c r="G120" s="15"/>
      <c r="H120" s="112"/>
      <c r="I120" s="15"/>
      <c r="J120" s="15"/>
      <c r="K120" s="9"/>
      <c r="L120" s="163"/>
    </row>
    <row r="121" spans="1:12" ht="15.5" x14ac:dyDescent="0.35">
      <c r="A121" s="37">
        <f>A118+1</f>
        <v>83</v>
      </c>
      <c r="B121" s="86" t="s">
        <v>770</v>
      </c>
      <c r="C121" s="87" t="s">
        <v>19</v>
      </c>
      <c r="D121" s="112">
        <v>83.64</v>
      </c>
      <c r="E121" s="15"/>
      <c r="F121" s="15">
        <f>D121+E121</f>
        <v>83.64</v>
      </c>
      <c r="G121" s="15"/>
      <c r="H121" s="112">
        <f>MROUND((D121*(1+Sheet1!$C$3)),0.1)+14.1</f>
        <v>100</v>
      </c>
      <c r="I121" s="15"/>
      <c r="J121" s="15">
        <f>H121+I121</f>
        <v>100</v>
      </c>
      <c r="K121" s="9">
        <f>J121-F121</f>
        <v>16.36</v>
      </c>
      <c r="L121" s="8">
        <f>IF(F121="","NEW",K121/F121)</f>
        <v>0.1956001912960306</v>
      </c>
    </row>
    <row r="122" spans="1:12" ht="15.5" x14ac:dyDescent="0.35">
      <c r="A122" s="447"/>
      <c r="B122" s="86"/>
      <c r="C122" s="87"/>
      <c r="D122" s="112"/>
      <c r="E122" s="15"/>
      <c r="F122" s="15"/>
      <c r="G122" s="15"/>
      <c r="H122" s="112"/>
      <c r="I122" s="15"/>
      <c r="J122" s="15"/>
      <c r="K122" s="9"/>
      <c r="L122" s="163"/>
    </row>
    <row r="123" spans="1:12" ht="18" x14ac:dyDescent="0.35">
      <c r="A123" s="136"/>
      <c r="B123" s="269" t="s">
        <v>771</v>
      </c>
      <c r="C123" s="87"/>
      <c r="D123" s="112"/>
      <c r="E123" s="15"/>
      <c r="F123" s="15"/>
      <c r="G123" s="15"/>
      <c r="H123" s="112"/>
      <c r="I123" s="15"/>
      <c r="J123" s="15"/>
      <c r="K123" s="9"/>
      <c r="L123" s="163"/>
    </row>
    <row r="124" spans="1:12" ht="15.5" x14ac:dyDescent="0.35">
      <c r="A124" s="37">
        <f>A121+1</f>
        <v>84</v>
      </c>
      <c r="B124" s="86" t="s">
        <v>772</v>
      </c>
      <c r="C124" s="87" t="s">
        <v>19</v>
      </c>
      <c r="D124" s="112">
        <v>127</v>
      </c>
      <c r="E124" s="15"/>
      <c r="F124" s="15">
        <f t="shared" ref="F124:F129" si="39">D124+E124</f>
        <v>127</v>
      </c>
      <c r="G124" s="15"/>
      <c r="H124" s="112">
        <f>MROUND((D124*(1+Sheet1!$C$3)),0.1)-0.5</f>
        <v>130</v>
      </c>
      <c r="I124" s="15"/>
      <c r="J124" s="15">
        <f>H124+I124</f>
        <v>130</v>
      </c>
      <c r="K124" s="9">
        <f t="shared" ref="K124:K129" si="40">J124-F124</f>
        <v>3</v>
      </c>
      <c r="L124" s="8">
        <f t="shared" ref="L124:L129" si="41">IF(F124="","NEW",K124/F124)</f>
        <v>2.3622047244094488E-2</v>
      </c>
    </row>
    <row r="125" spans="1:12" ht="15.5" x14ac:dyDescent="0.35">
      <c r="A125" s="37">
        <f>A124+1</f>
        <v>85</v>
      </c>
      <c r="B125" s="86" t="s">
        <v>773</v>
      </c>
      <c r="C125" s="87" t="s">
        <v>19</v>
      </c>
      <c r="D125" s="112">
        <v>367</v>
      </c>
      <c r="E125" s="15"/>
      <c r="F125" s="15">
        <f t="shared" si="39"/>
        <v>367</v>
      </c>
      <c r="G125" s="15"/>
      <c r="H125" s="112">
        <f>MROUND((D125*(1+Sheet1!$C$3)),0.1)+2.9</f>
        <v>380</v>
      </c>
      <c r="I125" s="15"/>
      <c r="J125" s="15">
        <f>H125+I125</f>
        <v>380</v>
      </c>
      <c r="K125" s="9">
        <f t="shared" si="40"/>
        <v>13</v>
      </c>
      <c r="L125" s="8">
        <f t="shared" si="41"/>
        <v>3.5422343324250684E-2</v>
      </c>
    </row>
    <row r="126" spans="1:12" ht="15.5" x14ac:dyDescent="0.35">
      <c r="A126" s="37">
        <f>A125+1</f>
        <v>86</v>
      </c>
      <c r="B126" s="86" t="s">
        <v>774</v>
      </c>
      <c r="C126" s="87" t="s">
        <v>19</v>
      </c>
      <c r="D126" s="112">
        <v>609</v>
      </c>
      <c r="E126" s="15"/>
      <c r="F126" s="15">
        <f>D126+E126</f>
        <v>609</v>
      </c>
      <c r="G126" s="15"/>
      <c r="H126" s="112">
        <f>MROUND((D126*(1+Sheet1!$C$3)),0.1)-0.7</f>
        <v>625</v>
      </c>
      <c r="I126" s="15"/>
      <c r="J126" s="15">
        <f>H126+I126</f>
        <v>625</v>
      </c>
      <c r="K126" s="9">
        <f t="shared" si="40"/>
        <v>16</v>
      </c>
      <c r="L126" s="8">
        <f t="shared" si="41"/>
        <v>2.6272577996715927E-2</v>
      </c>
    </row>
    <row r="127" spans="1:12" ht="15.5" x14ac:dyDescent="0.35">
      <c r="A127" s="37">
        <f>A126+1</f>
        <v>87</v>
      </c>
      <c r="B127" s="86" t="s">
        <v>775</v>
      </c>
      <c r="C127" s="87" t="s">
        <v>19</v>
      </c>
      <c r="D127" s="112">
        <v>856</v>
      </c>
      <c r="E127" s="15"/>
      <c r="F127" s="15">
        <f t="shared" si="39"/>
        <v>856</v>
      </c>
      <c r="G127" s="15"/>
      <c r="H127" s="112">
        <f>MROUND((D127*(1+Sheet1!$C$3)),0.1)+0.5</f>
        <v>880</v>
      </c>
      <c r="I127" s="15"/>
      <c r="J127" s="15">
        <f t="shared" ref="J127:J129" si="42">H127+I127</f>
        <v>880</v>
      </c>
      <c r="K127" s="9">
        <f t="shared" si="40"/>
        <v>24</v>
      </c>
      <c r="L127" s="8">
        <f t="shared" si="41"/>
        <v>2.8037383177570093E-2</v>
      </c>
    </row>
    <row r="128" spans="1:12" ht="15.5" x14ac:dyDescent="0.35">
      <c r="A128" s="37">
        <f>A127+1</f>
        <v>88</v>
      </c>
      <c r="B128" s="86" t="s">
        <v>776</v>
      </c>
      <c r="C128" s="87" t="s">
        <v>19</v>
      </c>
      <c r="D128" s="112">
        <v>36</v>
      </c>
      <c r="E128" s="15"/>
      <c r="F128" s="15">
        <f t="shared" si="39"/>
        <v>36</v>
      </c>
      <c r="G128" s="15"/>
      <c r="H128" s="112">
        <f>MROUND((D128*(1+Sheet1!$C$3)),0.1)+3</f>
        <v>40</v>
      </c>
      <c r="I128" s="15"/>
      <c r="J128" s="15">
        <f t="shared" si="42"/>
        <v>40</v>
      </c>
      <c r="K128" s="9">
        <f t="shared" si="40"/>
        <v>4</v>
      </c>
      <c r="L128" s="8">
        <f t="shared" si="41"/>
        <v>0.1111111111111111</v>
      </c>
    </row>
    <row r="129" spans="1:12" ht="15.5" x14ac:dyDescent="0.35">
      <c r="A129" s="37">
        <f>A128+1</f>
        <v>89</v>
      </c>
      <c r="B129" s="86" t="s">
        <v>777</v>
      </c>
      <c r="C129" s="448" t="s">
        <v>191</v>
      </c>
      <c r="D129" s="112">
        <v>522.75</v>
      </c>
      <c r="E129" s="15"/>
      <c r="F129" s="15">
        <f t="shared" si="39"/>
        <v>522.75</v>
      </c>
      <c r="G129" s="15"/>
      <c r="H129" s="112">
        <f>MROUND((D129*(1+Sheet1!$C$3)),0.1)+2.9</f>
        <v>540</v>
      </c>
      <c r="I129" s="15"/>
      <c r="J129" s="15">
        <f t="shared" si="42"/>
        <v>540</v>
      </c>
      <c r="K129" s="9">
        <f t="shared" si="40"/>
        <v>17.25</v>
      </c>
      <c r="L129" s="8">
        <f t="shared" si="41"/>
        <v>3.2998565279770443E-2</v>
      </c>
    </row>
    <row r="130" spans="1:12" ht="15.5" x14ac:dyDescent="0.35">
      <c r="A130" s="37"/>
      <c r="B130" s="86"/>
      <c r="C130" s="448"/>
      <c r="D130" s="112"/>
      <c r="E130" s="15"/>
      <c r="F130" s="15"/>
      <c r="G130" s="15"/>
      <c r="H130" s="112"/>
      <c r="I130" s="15"/>
      <c r="J130" s="15"/>
      <c r="K130" s="9"/>
      <c r="L130" s="8"/>
    </row>
    <row r="131" spans="1:12" ht="18" x14ac:dyDescent="0.35">
      <c r="A131" s="37"/>
      <c r="B131" s="269" t="s">
        <v>778</v>
      </c>
      <c r="C131" s="448"/>
      <c r="D131" s="112"/>
      <c r="E131" s="15"/>
      <c r="F131" s="15"/>
      <c r="G131" s="15"/>
      <c r="H131" s="112"/>
      <c r="I131" s="15"/>
      <c r="J131" s="15"/>
      <c r="K131" s="9"/>
      <c r="L131" s="8"/>
    </row>
    <row r="132" spans="1:12" ht="15.5" x14ac:dyDescent="0.35">
      <c r="A132" s="37">
        <f>A129+1</f>
        <v>90</v>
      </c>
      <c r="B132" s="86" t="s">
        <v>779</v>
      </c>
      <c r="C132" s="448" t="s">
        <v>191</v>
      </c>
      <c r="D132" s="112">
        <v>505</v>
      </c>
      <c r="E132" s="15"/>
      <c r="F132" s="15">
        <f>D132+E132</f>
        <v>505</v>
      </c>
      <c r="G132" s="15"/>
      <c r="H132" s="112">
        <f>MROUND((D132*(1+Sheet1!$C$3)),0.1)+1.1</f>
        <v>520</v>
      </c>
      <c r="I132" s="15"/>
      <c r="J132" s="15">
        <f>H132+I132</f>
        <v>520</v>
      </c>
      <c r="K132" s="9">
        <f>J132-F132</f>
        <v>15</v>
      </c>
      <c r="L132" s="8">
        <f>IF(F132="","NEW",K132/F132)</f>
        <v>2.9702970297029702E-2</v>
      </c>
    </row>
    <row r="133" spans="1:12" ht="15.5" x14ac:dyDescent="0.35">
      <c r="A133" s="37">
        <f>A132+1</f>
        <v>91</v>
      </c>
      <c r="B133" s="86" t="s">
        <v>780</v>
      </c>
      <c r="C133" s="448" t="s">
        <v>191</v>
      </c>
      <c r="D133" s="112">
        <v>70</v>
      </c>
      <c r="E133" s="15"/>
      <c r="F133" s="15">
        <f>D133+E133</f>
        <v>70</v>
      </c>
      <c r="G133" s="15"/>
      <c r="H133" s="112">
        <f>MROUND((D133*(1+Sheet1!$C$3)),0.1)+3.1</f>
        <v>75</v>
      </c>
      <c r="I133" s="15"/>
      <c r="J133" s="15">
        <f>H133+I133</f>
        <v>75</v>
      </c>
      <c r="K133" s="9">
        <f>J133-F133</f>
        <v>5</v>
      </c>
      <c r="L133" s="8">
        <f>IF(F133="","NEW",K133/F133)</f>
        <v>7.1428571428571425E-2</v>
      </c>
    </row>
    <row r="134" spans="1:12" ht="15.5" x14ac:dyDescent="0.35">
      <c r="A134" s="101"/>
      <c r="B134" s="86"/>
      <c r="C134" s="449"/>
      <c r="D134" s="112"/>
      <c r="E134" s="10"/>
      <c r="F134" s="10"/>
      <c r="G134" s="10"/>
      <c r="H134" s="112"/>
      <c r="I134" s="10"/>
      <c r="J134" s="10"/>
      <c r="K134" s="9"/>
      <c r="L134" s="8"/>
    </row>
    <row r="135" spans="1:12" ht="18" x14ac:dyDescent="0.35">
      <c r="A135" s="136"/>
      <c r="B135" s="269" t="s">
        <v>781</v>
      </c>
      <c r="C135" s="87"/>
      <c r="D135" s="112"/>
      <c r="E135" s="15"/>
      <c r="F135" s="15"/>
      <c r="G135" s="15"/>
      <c r="H135" s="112"/>
      <c r="I135" s="15"/>
      <c r="J135" s="15"/>
      <c r="K135" s="9"/>
      <c r="L135" s="163"/>
    </row>
    <row r="136" spans="1:12" ht="31" x14ac:dyDescent="0.35">
      <c r="A136" s="37">
        <f>A133+1</f>
        <v>92</v>
      </c>
      <c r="B136" s="86" t="s">
        <v>782</v>
      </c>
      <c r="C136" s="450" t="s">
        <v>19</v>
      </c>
      <c r="D136" s="112">
        <v>500</v>
      </c>
      <c r="E136" s="15"/>
      <c r="F136" s="15">
        <f t="shared" ref="F136:F139" si="43">D136+E136</f>
        <v>500</v>
      </c>
      <c r="G136" s="15"/>
      <c r="H136" s="112">
        <f>MROUND((D136*(1+Sheet1!$C$3)),0.1)</f>
        <v>513.80000000000007</v>
      </c>
      <c r="I136" s="15"/>
      <c r="J136" s="15">
        <f t="shared" ref="J136:J139" si="44">H136+I136</f>
        <v>513.80000000000007</v>
      </c>
      <c r="K136" s="9">
        <f t="shared" ref="K136:K139" si="45">J136-F136</f>
        <v>13.800000000000068</v>
      </c>
      <c r="L136" s="8">
        <f t="shared" ref="L136:L139" si="46">IF(F136="","NEW",K136/F136)</f>
        <v>2.7600000000000135E-2</v>
      </c>
    </row>
    <row r="137" spans="1:12" ht="31" x14ac:dyDescent="0.35">
      <c r="A137" s="136">
        <f t="shared" ref="A137:A165" si="47">A136+1</f>
        <v>93</v>
      </c>
      <c r="B137" s="86" t="s">
        <v>783</v>
      </c>
      <c r="C137" s="450" t="s">
        <v>19</v>
      </c>
      <c r="D137" s="112">
        <v>300</v>
      </c>
      <c r="E137" s="15"/>
      <c r="F137" s="15">
        <f t="shared" si="43"/>
        <v>300</v>
      </c>
      <c r="G137" s="15"/>
      <c r="H137" s="112">
        <f>MROUND((D137*(1+Sheet1!$C$3)),0.1)</f>
        <v>308.3</v>
      </c>
      <c r="I137" s="15"/>
      <c r="J137" s="15">
        <f t="shared" si="44"/>
        <v>308.3</v>
      </c>
      <c r="K137" s="9">
        <f t="shared" si="45"/>
        <v>8.3000000000000114</v>
      </c>
      <c r="L137" s="8">
        <f t="shared" si="46"/>
        <v>2.7666666666666704E-2</v>
      </c>
    </row>
    <row r="138" spans="1:12" ht="31" x14ac:dyDescent="0.35">
      <c r="A138" s="136">
        <f t="shared" si="47"/>
        <v>94</v>
      </c>
      <c r="B138" s="86" t="s">
        <v>784</v>
      </c>
      <c r="C138" s="450" t="s">
        <v>19</v>
      </c>
      <c r="D138" s="112">
        <v>120</v>
      </c>
      <c r="E138" s="15"/>
      <c r="F138" s="15">
        <f t="shared" si="43"/>
        <v>120</v>
      </c>
      <c r="G138" s="15"/>
      <c r="H138" s="112">
        <f>MROUND((D138*(1+Sheet1!$C$3)),0.1)</f>
        <v>123.30000000000001</v>
      </c>
      <c r="I138" s="15"/>
      <c r="J138" s="15">
        <f t="shared" si="44"/>
        <v>123.30000000000001</v>
      </c>
      <c r="K138" s="9">
        <f t="shared" si="45"/>
        <v>3.3000000000000114</v>
      </c>
      <c r="L138" s="8">
        <f t="shared" si="46"/>
        <v>2.7500000000000094E-2</v>
      </c>
    </row>
    <row r="139" spans="1:12" ht="31" x14ac:dyDescent="0.35">
      <c r="A139" s="136">
        <f t="shared" si="47"/>
        <v>95</v>
      </c>
      <c r="B139" s="86" t="s">
        <v>785</v>
      </c>
      <c r="C139" s="450" t="s">
        <v>19</v>
      </c>
      <c r="D139" s="112">
        <v>80</v>
      </c>
      <c r="E139" s="15"/>
      <c r="F139" s="15">
        <f t="shared" si="43"/>
        <v>80</v>
      </c>
      <c r="G139" s="15"/>
      <c r="H139" s="112">
        <f>MROUND((D139*(1+Sheet1!$C$3)),0.1)</f>
        <v>82.2</v>
      </c>
      <c r="I139" s="15"/>
      <c r="J139" s="15">
        <f t="shared" si="44"/>
        <v>82.2</v>
      </c>
      <c r="K139" s="9">
        <f t="shared" si="45"/>
        <v>2.2000000000000028</v>
      </c>
      <c r="L139" s="8">
        <f t="shared" si="46"/>
        <v>2.7500000000000035E-2</v>
      </c>
    </row>
    <row r="140" spans="1:12" ht="15.5" x14ac:dyDescent="0.35">
      <c r="A140" s="136">
        <f t="shared" si="47"/>
        <v>96</v>
      </c>
      <c r="B140" s="86" t="s">
        <v>786</v>
      </c>
      <c r="C140" s="450" t="s">
        <v>19</v>
      </c>
      <c r="D140" s="112"/>
      <c r="E140" s="15"/>
      <c r="F140" s="15"/>
      <c r="G140" s="15"/>
      <c r="H140" s="112"/>
      <c r="I140" s="15"/>
      <c r="J140" s="15"/>
      <c r="K140" s="9"/>
      <c r="L140" s="8"/>
    </row>
    <row r="141" spans="1:12" ht="16" customHeight="1" x14ac:dyDescent="0.35">
      <c r="A141" s="136">
        <f t="shared" si="47"/>
        <v>97</v>
      </c>
      <c r="B141" s="86" t="s">
        <v>787</v>
      </c>
      <c r="C141" s="450" t="s">
        <v>19</v>
      </c>
      <c r="D141" s="112">
        <v>45</v>
      </c>
      <c r="E141" s="15"/>
      <c r="F141" s="15">
        <f t="shared" ref="F141:F165" si="48">D141+E141</f>
        <v>45</v>
      </c>
      <c r="G141" s="15"/>
      <c r="H141" s="112">
        <f>MROUND((D141*(1+Sheet1!$C$3)),0.1)</f>
        <v>46.2</v>
      </c>
      <c r="I141" s="15"/>
      <c r="J141" s="15">
        <f t="shared" ref="J141:J162" si="49">H141+I141</f>
        <v>46.2</v>
      </c>
      <c r="K141" s="9">
        <f t="shared" ref="K141:K162" si="50">J141-F141</f>
        <v>1.2000000000000028</v>
      </c>
      <c r="L141" s="8">
        <f t="shared" ref="L141:L162" si="51">IF(F141="","NEW",K141/F141)</f>
        <v>2.6666666666666731E-2</v>
      </c>
    </row>
    <row r="142" spans="1:12" ht="31" x14ac:dyDescent="0.35">
      <c r="A142" s="136">
        <f t="shared" si="47"/>
        <v>98</v>
      </c>
      <c r="B142" s="86" t="s">
        <v>788</v>
      </c>
      <c r="C142" s="450" t="s">
        <v>19</v>
      </c>
      <c r="D142" s="112">
        <v>35</v>
      </c>
      <c r="E142" s="15"/>
      <c r="F142" s="15">
        <f t="shared" si="48"/>
        <v>35</v>
      </c>
      <c r="G142" s="15"/>
      <c r="H142" s="112">
        <f>MROUND((D142*(1+Sheet1!$C$3)),0.1)</f>
        <v>36</v>
      </c>
      <c r="I142" s="15"/>
      <c r="J142" s="15">
        <f t="shared" si="49"/>
        <v>36</v>
      </c>
      <c r="K142" s="9">
        <f t="shared" si="50"/>
        <v>1</v>
      </c>
      <c r="L142" s="8">
        <f t="shared" si="51"/>
        <v>2.8571428571428571E-2</v>
      </c>
    </row>
    <row r="143" spans="1:12" ht="15.5" x14ac:dyDescent="0.35">
      <c r="A143" s="136">
        <f t="shared" si="47"/>
        <v>99</v>
      </c>
      <c r="B143" s="86" t="s">
        <v>789</v>
      </c>
      <c r="C143" s="450" t="s">
        <v>19</v>
      </c>
      <c r="D143" s="112">
        <v>60</v>
      </c>
      <c r="E143" s="15"/>
      <c r="F143" s="15">
        <f t="shared" si="48"/>
        <v>60</v>
      </c>
      <c r="G143" s="15"/>
      <c r="H143" s="112">
        <f>MROUND((D143*(1+Sheet1!$C$3)),0.1)</f>
        <v>61.7</v>
      </c>
      <c r="I143" s="15"/>
      <c r="J143" s="15">
        <f t="shared" ref="J143:J150" si="52">H143+I143</f>
        <v>61.7</v>
      </c>
      <c r="K143" s="9">
        <f t="shared" ref="K143:K150" si="53">J143-F143</f>
        <v>1.7000000000000028</v>
      </c>
      <c r="L143" s="8">
        <f t="shared" ref="L143:L150" si="54">IF(F143="","NEW",K143/F143)</f>
        <v>2.833333333333338E-2</v>
      </c>
    </row>
    <row r="144" spans="1:12" ht="15.5" x14ac:dyDescent="0.35">
      <c r="A144" s="136">
        <f t="shared" si="47"/>
        <v>100</v>
      </c>
      <c r="B144" s="86" t="s">
        <v>790</v>
      </c>
      <c r="C144" s="450" t="s">
        <v>19</v>
      </c>
      <c r="D144" s="112">
        <v>40</v>
      </c>
      <c r="E144" s="15"/>
      <c r="F144" s="15">
        <f t="shared" si="48"/>
        <v>40</v>
      </c>
      <c r="G144" s="15"/>
      <c r="H144" s="112">
        <f>MROUND((D144*(1+Sheet1!$C$3)),0.1)</f>
        <v>41.1</v>
      </c>
      <c r="I144" s="15"/>
      <c r="J144" s="15">
        <f t="shared" si="52"/>
        <v>41.1</v>
      </c>
      <c r="K144" s="9">
        <f t="shared" si="53"/>
        <v>1.1000000000000014</v>
      </c>
      <c r="L144" s="8">
        <f t="shared" si="54"/>
        <v>2.7500000000000035E-2</v>
      </c>
    </row>
    <row r="145" spans="1:12" ht="15.5" x14ac:dyDescent="0.35">
      <c r="A145" s="136">
        <f t="shared" si="47"/>
        <v>101</v>
      </c>
      <c r="B145" s="86" t="s">
        <v>791</v>
      </c>
      <c r="C145" s="450" t="s">
        <v>19</v>
      </c>
      <c r="D145" s="112">
        <v>240</v>
      </c>
      <c r="E145" s="15"/>
      <c r="F145" s="15">
        <f t="shared" si="48"/>
        <v>240</v>
      </c>
      <c r="G145" s="15"/>
      <c r="H145" s="112">
        <f>MROUND((D145*(1+Sheet1!$C$3)),0.1)</f>
        <v>246.60000000000002</v>
      </c>
      <c r="I145" s="15"/>
      <c r="J145" s="15">
        <f t="shared" si="52"/>
        <v>246.60000000000002</v>
      </c>
      <c r="K145" s="9">
        <f t="shared" si="53"/>
        <v>6.6000000000000227</v>
      </c>
      <c r="L145" s="8">
        <f t="shared" si="54"/>
        <v>2.7500000000000094E-2</v>
      </c>
    </row>
    <row r="146" spans="1:12" ht="15.5" x14ac:dyDescent="0.35">
      <c r="A146" s="136">
        <f t="shared" si="47"/>
        <v>102</v>
      </c>
      <c r="B146" s="86" t="s">
        <v>792</v>
      </c>
      <c r="C146" s="450" t="s">
        <v>19</v>
      </c>
      <c r="D146" s="112">
        <v>130</v>
      </c>
      <c r="E146" s="15"/>
      <c r="F146" s="15">
        <f t="shared" si="48"/>
        <v>130</v>
      </c>
      <c r="G146" s="15"/>
      <c r="H146" s="112">
        <f>MROUND((D146*(1+Sheet1!$C$3)),0.1)</f>
        <v>133.6</v>
      </c>
      <c r="I146" s="15"/>
      <c r="J146" s="15">
        <f t="shared" si="52"/>
        <v>133.6</v>
      </c>
      <c r="K146" s="9">
        <f t="shared" si="53"/>
        <v>3.5999999999999943</v>
      </c>
      <c r="L146" s="8">
        <f t="shared" si="54"/>
        <v>2.7692307692307648E-2</v>
      </c>
    </row>
    <row r="147" spans="1:12" ht="15.5" x14ac:dyDescent="0.35">
      <c r="A147" s="136">
        <f t="shared" si="47"/>
        <v>103</v>
      </c>
      <c r="B147" s="86" t="s">
        <v>793</v>
      </c>
      <c r="C147" s="450" t="s">
        <v>19</v>
      </c>
      <c r="D147" s="112">
        <v>65</v>
      </c>
      <c r="E147" s="15"/>
      <c r="F147" s="15">
        <f t="shared" si="48"/>
        <v>65</v>
      </c>
      <c r="G147" s="15"/>
      <c r="H147" s="112">
        <f>MROUND((D147*(1+Sheet1!$C$3)),0.1)</f>
        <v>66.8</v>
      </c>
      <c r="I147" s="15"/>
      <c r="J147" s="15">
        <f t="shared" si="52"/>
        <v>66.8</v>
      </c>
      <c r="K147" s="9">
        <f t="shared" si="53"/>
        <v>1.7999999999999972</v>
      </c>
      <c r="L147" s="8">
        <f t="shared" si="54"/>
        <v>2.7692307692307648E-2</v>
      </c>
    </row>
    <row r="148" spans="1:12" ht="15.5" x14ac:dyDescent="0.35">
      <c r="A148" s="136">
        <f t="shared" si="47"/>
        <v>104</v>
      </c>
      <c r="B148" s="86" t="s">
        <v>794</v>
      </c>
      <c r="C148" s="450" t="s">
        <v>19</v>
      </c>
      <c r="D148" s="112">
        <v>150</v>
      </c>
      <c r="E148" s="15"/>
      <c r="F148" s="15">
        <f t="shared" si="48"/>
        <v>150</v>
      </c>
      <c r="G148" s="15"/>
      <c r="H148" s="112">
        <f>MROUND((D148*(1+Sheet1!$C$3)),0.1)</f>
        <v>154.10000000000002</v>
      </c>
      <c r="I148" s="15"/>
      <c r="J148" s="15">
        <f t="shared" si="52"/>
        <v>154.10000000000002</v>
      </c>
      <c r="K148" s="9">
        <f t="shared" si="53"/>
        <v>4.1000000000000227</v>
      </c>
      <c r="L148" s="8">
        <f t="shared" si="54"/>
        <v>2.7333333333333484E-2</v>
      </c>
    </row>
    <row r="149" spans="1:12" ht="15.5" x14ac:dyDescent="0.35">
      <c r="A149" s="136">
        <f t="shared" si="47"/>
        <v>105</v>
      </c>
      <c r="B149" s="86" t="s">
        <v>795</v>
      </c>
      <c r="C149" s="450" t="s">
        <v>19</v>
      </c>
      <c r="D149" s="112">
        <v>75</v>
      </c>
      <c r="E149" s="15"/>
      <c r="F149" s="15">
        <f t="shared" si="48"/>
        <v>75</v>
      </c>
      <c r="G149" s="15"/>
      <c r="H149" s="112">
        <f>MROUND((D149*(1+Sheet1!$C$3)),0.1)</f>
        <v>77.100000000000009</v>
      </c>
      <c r="I149" s="15"/>
      <c r="J149" s="15">
        <f t="shared" si="52"/>
        <v>77.100000000000009</v>
      </c>
      <c r="K149" s="9">
        <f t="shared" si="53"/>
        <v>2.1000000000000085</v>
      </c>
      <c r="L149" s="8">
        <f t="shared" si="54"/>
        <v>2.8000000000000115E-2</v>
      </c>
    </row>
    <row r="150" spans="1:12" ht="15.5" x14ac:dyDescent="0.35">
      <c r="A150" s="136">
        <f t="shared" si="47"/>
        <v>106</v>
      </c>
      <c r="B150" s="86" t="s">
        <v>796</v>
      </c>
      <c r="C150" s="450" t="s">
        <v>19</v>
      </c>
      <c r="D150" s="112">
        <v>45</v>
      </c>
      <c r="E150" s="15"/>
      <c r="F150" s="15">
        <f t="shared" si="48"/>
        <v>45</v>
      </c>
      <c r="G150" s="15"/>
      <c r="H150" s="112">
        <f>MROUND((D150*(1+Sheet1!$C$3)),0.1)</f>
        <v>46.2</v>
      </c>
      <c r="I150" s="15"/>
      <c r="J150" s="15">
        <f t="shared" si="52"/>
        <v>46.2</v>
      </c>
      <c r="K150" s="9">
        <f t="shared" si="53"/>
        <v>1.2000000000000028</v>
      </c>
      <c r="L150" s="8">
        <f t="shared" si="54"/>
        <v>2.6666666666666731E-2</v>
      </c>
    </row>
    <row r="151" spans="1:12" ht="31" x14ac:dyDescent="0.35">
      <c r="A151" s="136">
        <f t="shared" si="47"/>
        <v>107</v>
      </c>
      <c r="B151" s="86" t="s">
        <v>797</v>
      </c>
      <c r="C151" s="450" t="s">
        <v>19</v>
      </c>
      <c r="D151" s="112">
        <v>5000</v>
      </c>
      <c r="E151" s="15"/>
      <c r="F151" s="15">
        <f t="shared" si="48"/>
        <v>5000</v>
      </c>
      <c r="G151" s="15"/>
      <c r="H151" s="112">
        <f>MROUND((D151*(1+Sheet1!$C$3)),0.1)</f>
        <v>5137.5</v>
      </c>
      <c r="I151" s="15"/>
      <c r="J151" s="15">
        <f t="shared" si="49"/>
        <v>5137.5</v>
      </c>
      <c r="K151" s="9">
        <f t="shared" si="50"/>
        <v>137.5</v>
      </c>
      <c r="L151" s="8">
        <f t="shared" si="51"/>
        <v>2.75E-2</v>
      </c>
    </row>
    <row r="152" spans="1:12" ht="31" x14ac:dyDescent="0.35">
      <c r="A152" s="136">
        <f t="shared" si="47"/>
        <v>108</v>
      </c>
      <c r="B152" s="86" t="s">
        <v>798</v>
      </c>
      <c r="C152" s="450" t="s">
        <v>19</v>
      </c>
      <c r="D152" s="112">
        <v>10000</v>
      </c>
      <c r="E152" s="15"/>
      <c r="F152" s="15">
        <f t="shared" si="48"/>
        <v>10000</v>
      </c>
      <c r="G152" s="15"/>
      <c r="H152" s="112">
        <f>MROUND((D152*(1+Sheet1!$C$3)),0.1)</f>
        <v>10275</v>
      </c>
      <c r="I152" s="15"/>
      <c r="J152" s="15">
        <f t="shared" si="49"/>
        <v>10275</v>
      </c>
      <c r="K152" s="9">
        <f t="shared" si="50"/>
        <v>275</v>
      </c>
      <c r="L152" s="8">
        <f t="shared" si="51"/>
        <v>2.75E-2</v>
      </c>
    </row>
    <row r="153" spans="1:12" ht="15.5" x14ac:dyDescent="0.35">
      <c r="A153" s="136">
        <f t="shared" si="47"/>
        <v>109</v>
      </c>
      <c r="B153" s="86" t="s">
        <v>799</v>
      </c>
      <c r="C153" s="450" t="s">
        <v>19</v>
      </c>
      <c r="D153" s="112">
        <v>2500</v>
      </c>
      <c r="E153" s="15"/>
      <c r="F153" s="15">
        <f t="shared" si="48"/>
        <v>2500</v>
      </c>
      <c r="G153" s="15"/>
      <c r="H153" s="112">
        <f>MROUND((D153*(1+Sheet1!$C$3)),0.1)</f>
        <v>2568.8000000000002</v>
      </c>
      <c r="I153" s="15"/>
      <c r="J153" s="15">
        <f t="shared" si="49"/>
        <v>2568.8000000000002</v>
      </c>
      <c r="K153" s="9">
        <f t="shared" si="50"/>
        <v>68.800000000000182</v>
      </c>
      <c r="L153" s="8">
        <f t="shared" si="51"/>
        <v>2.7520000000000072E-2</v>
      </c>
    </row>
    <row r="154" spans="1:12" ht="31" x14ac:dyDescent="0.35">
      <c r="A154" s="136">
        <f t="shared" si="47"/>
        <v>110</v>
      </c>
      <c r="B154" s="86" t="s">
        <v>800</v>
      </c>
      <c r="C154" s="450" t="s">
        <v>19</v>
      </c>
      <c r="D154" s="112">
        <v>2500</v>
      </c>
      <c r="E154" s="15"/>
      <c r="F154" s="15">
        <f t="shared" si="48"/>
        <v>2500</v>
      </c>
      <c r="G154" s="15"/>
      <c r="H154" s="112">
        <f>MROUND((D154*(1+Sheet1!$C$3)),0.1)</f>
        <v>2568.8000000000002</v>
      </c>
      <c r="I154" s="15"/>
      <c r="J154" s="15">
        <f t="shared" si="49"/>
        <v>2568.8000000000002</v>
      </c>
      <c r="K154" s="9">
        <f t="shared" si="50"/>
        <v>68.800000000000182</v>
      </c>
      <c r="L154" s="8">
        <f t="shared" si="51"/>
        <v>2.7520000000000072E-2</v>
      </c>
    </row>
    <row r="155" spans="1:12" ht="31" x14ac:dyDescent="0.35">
      <c r="A155" s="136">
        <f t="shared" si="47"/>
        <v>111</v>
      </c>
      <c r="B155" s="86" t="s">
        <v>801</v>
      </c>
      <c r="C155" s="450" t="s">
        <v>19</v>
      </c>
      <c r="D155" s="112">
        <v>3000</v>
      </c>
      <c r="E155" s="15"/>
      <c r="F155" s="15">
        <f t="shared" si="48"/>
        <v>3000</v>
      </c>
      <c r="G155" s="15"/>
      <c r="H155" s="112">
        <f>MROUND((D155*(1+Sheet1!$C$3)),0.1)</f>
        <v>3082.5</v>
      </c>
      <c r="I155" s="15"/>
      <c r="J155" s="15">
        <f t="shared" si="49"/>
        <v>3082.5</v>
      </c>
      <c r="K155" s="9">
        <f t="shared" si="50"/>
        <v>82.5</v>
      </c>
      <c r="L155" s="8">
        <f t="shared" si="51"/>
        <v>2.75E-2</v>
      </c>
    </row>
    <row r="156" spans="1:12" ht="31" x14ac:dyDescent="0.35">
      <c r="A156" s="136">
        <f t="shared" si="47"/>
        <v>112</v>
      </c>
      <c r="B156" s="86" t="s">
        <v>802</v>
      </c>
      <c r="C156" s="450" t="s">
        <v>19</v>
      </c>
      <c r="D156" s="112">
        <v>8000</v>
      </c>
      <c r="E156" s="15"/>
      <c r="F156" s="15">
        <f t="shared" si="48"/>
        <v>8000</v>
      </c>
      <c r="G156" s="15"/>
      <c r="H156" s="112">
        <f>MROUND((D156*(1+Sheet1!$C$3)),0.1)</f>
        <v>8220</v>
      </c>
      <c r="I156" s="15"/>
      <c r="J156" s="15">
        <f t="shared" si="49"/>
        <v>8220</v>
      </c>
      <c r="K156" s="9">
        <f t="shared" si="50"/>
        <v>220</v>
      </c>
      <c r="L156" s="8">
        <f t="shared" si="51"/>
        <v>2.75E-2</v>
      </c>
    </row>
    <row r="157" spans="1:12" ht="15.5" x14ac:dyDescent="0.35">
      <c r="A157" s="136">
        <f t="shared" si="47"/>
        <v>113</v>
      </c>
      <c r="B157" s="86" t="s">
        <v>803</v>
      </c>
      <c r="C157" s="450" t="s">
        <v>19</v>
      </c>
      <c r="D157" s="112">
        <v>2000</v>
      </c>
      <c r="E157" s="15"/>
      <c r="F157" s="15">
        <f t="shared" si="48"/>
        <v>2000</v>
      </c>
      <c r="G157" s="15"/>
      <c r="H157" s="112">
        <f>MROUND((D157*(1+Sheet1!$C$3)),0.1)</f>
        <v>2055</v>
      </c>
      <c r="I157" s="15"/>
      <c r="J157" s="15">
        <f t="shared" si="49"/>
        <v>2055</v>
      </c>
      <c r="K157" s="9">
        <f t="shared" si="50"/>
        <v>55</v>
      </c>
      <c r="L157" s="8">
        <f t="shared" si="51"/>
        <v>2.75E-2</v>
      </c>
    </row>
    <row r="158" spans="1:12" ht="15.5" x14ac:dyDescent="0.35">
      <c r="A158" s="136">
        <f t="shared" si="47"/>
        <v>114</v>
      </c>
      <c r="B158" s="86" t="s">
        <v>804</v>
      </c>
      <c r="C158" s="450" t="s">
        <v>19</v>
      </c>
      <c r="D158" s="112">
        <v>2000</v>
      </c>
      <c r="E158" s="15"/>
      <c r="F158" s="15">
        <f t="shared" si="48"/>
        <v>2000</v>
      </c>
      <c r="G158" s="15"/>
      <c r="H158" s="112">
        <f>MROUND((D158*(1+Sheet1!$C$3)),0.1)</f>
        <v>2055</v>
      </c>
      <c r="I158" s="15"/>
      <c r="J158" s="15">
        <f t="shared" si="49"/>
        <v>2055</v>
      </c>
      <c r="K158" s="9">
        <f t="shared" si="50"/>
        <v>55</v>
      </c>
      <c r="L158" s="8">
        <f t="shared" si="51"/>
        <v>2.75E-2</v>
      </c>
    </row>
    <row r="159" spans="1:12" ht="31" x14ac:dyDescent="0.35">
      <c r="A159" s="136">
        <f t="shared" si="47"/>
        <v>115</v>
      </c>
      <c r="B159" s="86" t="s">
        <v>805</v>
      </c>
      <c r="C159" s="450" t="s">
        <v>19</v>
      </c>
      <c r="D159" s="112">
        <v>750</v>
      </c>
      <c r="E159" s="15"/>
      <c r="F159" s="15">
        <f t="shared" si="48"/>
        <v>750</v>
      </c>
      <c r="G159" s="15"/>
      <c r="H159" s="112">
        <f>MROUND((D159*(1+Sheet1!$C$3)),0.1)</f>
        <v>770.6</v>
      </c>
      <c r="I159" s="15"/>
      <c r="J159" s="15">
        <f t="shared" si="49"/>
        <v>770.6</v>
      </c>
      <c r="K159" s="9">
        <f t="shared" si="50"/>
        <v>20.600000000000023</v>
      </c>
      <c r="L159" s="8">
        <f t="shared" si="51"/>
        <v>2.7466666666666698E-2</v>
      </c>
    </row>
    <row r="160" spans="1:12" ht="31" x14ac:dyDescent="0.35">
      <c r="A160" s="136">
        <f t="shared" si="47"/>
        <v>116</v>
      </c>
      <c r="B160" s="86" t="s">
        <v>806</v>
      </c>
      <c r="C160" s="450" t="s">
        <v>19</v>
      </c>
      <c r="D160" s="112">
        <v>750</v>
      </c>
      <c r="E160" s="15"/>
      <c r="F160" s="15">
        <f t="shared" si="48"/>
        <v>750</v>
      </c>
      <c r="G160" s="15"/>
      <c r="H160" s="112">
        <f>MROUND((D160*(1+Sheet1!$C$3)),0.1)</f>
        <v>770.6</v>
      </c>
      <c r="I160" s="15"/>
      <c r="J160" s="15">
        <f t="shared" si="49"/>
        <v>770.6</v>
      </c>
      <c r="K160" s="9">
        <f t="shared" si="50"/>
        <v>20.600000000000023</v>
      </c>
      <c r="L160" s="8">
        <f t="shared" si="51"/>
        <v>2.7466666666666698E-2</v>
      </c>
    </row>
    <row r="161" spans="1:12" ht="15.5" x14ac:dyDescent="0.35">
      <c r="A161" s="136">
        <f t="shared" si="47"/>
        <v>117</v>
      </c>
      <c r="B161" s="86" t="s">
        <v>807</v>
      </c>
      <c r="C161" s="450" t="s">
        <v>19</v>
      </c>
      <c r="D161" s="112">
        <v>250</v>
      </c>
      <c r="E161" s="15"/>
      <c r="F161" s="15">
        <f t="shared" si="48"/>
        <v>250</v>
      </c>
      <c r="G161" s="15"/>
      <c r="H161" s="112">
        <f>MROUND((D161*(1+Sheet1!$C$3)),0.1)</f>
        <v>256.90000000000003</v>
      </c>
      <c r="I161" s="15"/>
      <c r="J161" s="15">
        <f t="shared" si="49"/>
        <v>256.90000000000003</v>
      </c>
      <c r="K161" s="9">
        <f t="shared" si="50"/>
        <v>6.9000000000000341</v>
      </c>
      <c r="L161" s="8">
        <f t="shared" si="51"/>
        <v>2.7600000000000135E-2</v>
      </c>
    </row>
    <row r="162" spans="1:12" ht="15.5" x14ac:dyDescent="0.35">
      <c r="A162" s="136">
        <f t="shared" si="47"/>
        <v>118</v>
      </c>
      <c r="B162" s="86" t="s">
        <v>808</v>
      </c>
      <c r="C162" s="450" t="s">
        <v>19</v>
      </c>
      <c r="D162" s="112">
        <v>250</v>
      </c>
      <c r="E162" s="15"/>
      <c r="F162" s="15">
        <f t="shared" si="48"/>
        <v>250</v>
      </c>
      <c r="G162" s="15"/>
      <c r="H162" s="112">
        <f>MROUND((D162*(1+Sheet1!$C$3)),0.1)</f>
        <v>256.90000000000003</v>
      </c>
      <c r="I162" s="15"/>
      <c r="J162" s="15">
        <f t="shared" si="49"/>
        <v>256.90000000000003</v>
      </c>
      <c r="K162" s="9">
        <f t="shared" si="50"/>
        <v>6.9000000000000341</v>
      </c>
      <c r="L162" s="8">
        <f t="shared" si="51"/>
        <v>2.7600000000000135E-2</v>
      </c>
    </row>
    <row r="163" spans="1:12" ht="31" x14ac:dyDescent="0.35">
      <c r="A163" s="136">
        <f t="shared" si="47"/>
        <v>119</v>
      </c>
      <c r="B163" s="86" t="s">
        <v>809</v>
      </c>
      <c r="C163" s="450" t="s">
        <v>19</v>
      </c>
      <c r="D163" s="112">
        <v>2500</v>
      </c>
      <c r="E163" s="15"/>
      <c r="F163" s="15">
        <f t="shared" si="48"/>
        <v>2500</v>
      </c>
      <c r="G163" s="15"/>
      <c r="H163" s="112">
        <f>MROUND((D163*(1+Sheet1!$C$3)),0.1)</f>
        <v>2568.8000000000002</v>
      </c>
      <c r="I163" s="15"/>
      <c r="J163" s="15">
        <f t="shared" ref="J163:J165" si="55">H163+I163</f>
        <v>2568.8000000000002</v>
      </c>
      <c r="K163" s="9">
        <f t="shared" ref="K163:K165" si="56">J163-F163</f>
        <v>68.800000000000182</v>
      </c>
      <c r="L163" s="8">
        <f t="shared" ref="L163:L165" si="57">IF(F163="","NEW",K163/F163)</f>
        <v>2.7520000000000072E-2</v>
      </c>
    </row>
    <row r="164" spans="1:12" ht="15.5" x14ac:dyDescent="0.35">
      <c r="A164" s="136">
        <f t="shared" si="47"/>
        <v>120</v>
      </c>
      <c r="B164" s="86" t="s">
        <v>810</v>
      </c>
      <c r="C164" s="450" t="s">
        <v>19</v>
      </c>
      <c r="D164" s="112">
        <v>2500</v>
      </c>
      <c r="E164" s="15"/>
      <c r="F164" s="15">
        <f t="shared" si="48"/>
        <v>2500</v>
      </c>
      <c r="G164" s="15"/>
      <c r="H164" s="112">
        <f>MROUND((D164*(1+Sheet1!$C$3)),0.1)</f>
        <v>2568.8000000000002</v>
      </c>
      <c r="I164" s="15"/>
      <c r="J164" s="15">
        <f t="shared" si="55"/>
        <v>2568.8000000000002</v>
      </c>
      <c r="K164" s="9">
        <f t="shared" si="56"/>
        <v>68.800000000000182</v>
      </c>
      <c r="L164" s="8">
        <f t="shared" si="57"/>
        <v>2.7520000000000072E-2</v>
      </c>
    </row>
    <row r="165" spans="1:12" ht="31" x14ac:dyDescent="0.35">
      <c r="A165" s="136">
        <f t="shared" si="47"/>
        <v>121</v>
      </c>
      <c r="B165" s="86" t="s">
        <v>811</v>
      </c>
      <c r="C165" s="450" t="s">
        <v>19</v>
      </c>
      <c r="D165" s="112">
        <v>250</v>
      </c>
      <c r="E165" s="15"/>
      <c r="F165" s="15">
        <f t="shared" si="48"/>
        <v>250</v>
      </c>
      <c r="G165" s="15"/>
      <c r="H165" s="112">
        <f>MROUND((D165*(1+Sheet1!$C$3)),0.1)</f>
        <v>256.90000000000003</v>
      </c>
      <c r="I165" s="15"/>
      <c r="J165" s="15">
        <f t="shared" si="55"/>
        <v>256.90000000000003</v>
      </c>
      <c r="K165" s="9">
        <f t="shared" si="56"/>
        <v>6.9000000000000341</v>
      </c>
      <c r="L165" s="8">
        <f t="shared" si="57"/>
        <v>2.7600000000000135E-2</v>
      </c>
    </row>
    <row r="166" spans="1:12" ht="15.5" x14ac:dyDescent="0.35">
      <c r="A166" s="136"/>
      <c r="B166" s="86"/>
      <c r="C166" s="450"/>
      <c r="D166" s="112"/>
      <c r="E166" s="15"/>
      <c r="F166" s="15"/>
      <c r="G166" s="15"/>
      <c r="H166" s="112"/>
      <c r="I166" s="15"/>
      <c r="J166" s="15"/>
      <c r="K166" s="9"/>
      <c r="L166" s="8"/>
    </row>
    <row r="167" spans="1:12" ht="18" x14ac:dyDescent="0.35">
      <c r="A167" s="136"/>
      <c r="B167" s="269" t="s">
        <v>812</v>
      </c>
      <c r="C167" s="87"/>
      <c r="D167" s="112"/>
      <c r="E167" s="15"/>
      <c r="F167" s="15"/>
      <c r="G167" s="15"/>
      <c r="H167" s="112"/>
      <c r="I167" s="15"/>
      <c r="J167" s="15"/>
      <c r="K167" s="9"/>
      <c r="L167" s="163"/>
    </row>
    <row r="168" spans="1:12" ht="15.5" x14ac:dyDescent="0.35">
      <c r="A168" s="136"/>
      <c r="B168" s="86" t="s">
        <v>813</v>
      </c>
      <c r="C168" s="87"/>
      <c r="D168" s="112"/>
      <c r="E168" s="15"/>
      <c r="F168" s="15"/>
      <c r="G168" s="15"/>
      <c r="H168" s="112"/>
      <c r="I168" s="15"/>
      <c r="J168" s="15"/>
      <c r="K168" s="9"/>
      <c r="L168" s="163"/>
    </row>
    <row r="169" spans="1:12" ht="15.5" x14ac:dyDescent="0.35">
      <c r="A169" s="136">
        <v>122</v>
      </c>
      <c r="B169" s="86" t="s">
        <v>814</v>
      </c>
      <c r="C169" s="450" t="s">
        <v>191</v>
      </c>
      <c r="D169" s="112">
        <v>182</v>
      </c>
      <c r="E169" s="15"/>
      <c r="F169" s="15">
        <f t="shared" ref="F169:F171" si="58">D169+E169</f>
        <v>182</v>
      </c>
      <c r="G169" s="15"/>
      <c r="H169" s="112">
        <f>MROUND((D169*(1+Sheet1!$C$3)),0.1)</f>
        <v>187</v>
      </c>
      <c r="I169" s="15"/>
      <c r="J169" s="15">
        <f t="shared" ref="J169:J171" si="59">H169+I169</f>
        <v>187</v>
      </c>
      <c r="K169" s="9">
        <f t="shared" ref="K169:K171" si="60">J169-F169</f>
        <v>5</v>
      </c>
      <c r="L169" s="8">
        <f t="shared" ref="L169:L171" si="61">IF(F169="","NEW",K169/F169)</f>
        <v>2.7472527472527472E-2</v>
      </c>
    </row>
    <row r="170" spans="1:12" ht="15.5" x14ac:dyDescent="0.35">
      <c r="A170" s="136">
        <f t="shared" ref="A170:A172" si="62">A169+1</f>
        <v>123</v>
      </c>
      <c r="B170" s="86" t="s">
        <v>815</v>
      </c>
      <c r="C170" s="450" t="s">
        <v>191</v>
      </c>
      <c r="D170" s="112">
        <v>358</v>
      </c>
      <c r="E170" s="15"/>
      <c r="F170" s="15">
        <f t="shared" si="58"/>
        <v>358</v>
      </c>
      <c r="G170" s="15"/>
      <c r="H170" s="112">
        <f>MROUND((D170*(1+Sheet1!$C$3)),0.1)+2.2</f>
        <v>370</v>
      </c>
      <c r="I170" s="15"/>
      <c r="J170" s="15">
        <f t="shared" si="59"/>
        <v>370</v>
      </c>
      <c r="K170" s="9">
        <f t="shared" si="60"/>
        <v>12</v>
      </c>
      <c r="L170" s="8">
        <f t="shared" si="61"/>
        <v>3.3519553072625698E-2</v>
      </c>
    </row>
    <row r="171" spans="1:12" ht="15.5" x14ac:dyDescent="0.35">
      <c r="A171" s="136">
        <f t="shared" si="62"/>
        <v>124</v>
      </c>
      <c r="B171" s="86" t="s">
        <v>816</v>
      </c>
      <c r="C171" s="450" t="s">
        <v>191</v>
      </c>
      <c r="D171" s="112">
        <v>55</v>
      </c>
      <c r="E171" s="15"/>
      <c r="F171" s="15">
        <f t="shared" si="58"/>
        <v>55</v>
      </c>
      <c r="G171" s="15"/>
      <c r="H171" s="112">
        <f>MROUND((D171*(1+Sheet1!$C$3)),0.1)+3.5</f>
        <v>60</v>
      </c>
      <c r="I171" s="15"/>
      <c r="J171" s="15">
        <f t="shared" si="59"/>
        <v>60</v>
      </c>
      <c r="K171" s="9">
        <f t="shared" si="60"/>
        <v>5</v>
      </c>
      <c r="L171" s="8">
        <f t="shared" si="61"/>
        <v>9.0909090909090912E-2</v>
      </c>
    </row>
    <row r="172" spans="1:12" ht="15.5" x14ac:dyDescent="0.35">
      <c r="A172" s="136">
        <f t="shared" si="62"/>
        <v>125</v>
      </c>
      <c r="B172" s="86" t="s">
        <v>817</v>
      </c>
      <c r="C172" s="450" t="s">
        <v>191</v>
      </c>
      <c r="D172" s="523" t="s">
        <v>818</v>
      </c>
      <c r="E172" s="524"/>
      <c r="F172" s="525"/>
      <c r="G172" s="15"/>
      <c r="H172" s="523" t="s">
        <v>818</v>
      </c>
      <c r="I172" s="524"/>
      <c r="J172" s="525"/>
      <c r="K172" s="9"/>
      <c r="L172" s="8"/>
    </row>
    <row r="173" spans="1:12" ht="15.5" x14ac:dyDescent="0.35">
      <c r="A173" s="136"/>
      <c r="B173" s="172"/>
      <c r="C173" s="450"/>
      <c r="D173" s="112"/>
      <c r="E173" s="15"/>
      <c r="F173" s="15"/>
      <c r="G173" s="15"/>
      <c r="H173" s="112"/>
      <c r="I173" s="15"/>
      <c r="J173" s="15"/>
      <c r="K173" s="9"/>
      <c r="L173" s="163"/>
    </row>
    <row r="174" spans="1:12" ht="18" x14ac:dyDescent="0.35">
      <c r="A174" s="136"/>
      <c r="B174" s="269" t="s">
        <v>819</v>
      </c>
      <c r="C174" s="87"/>
      <c r="D174" s="112"/>
      <c r="E174" s="15"/>
      <c r="F174" s="15"/>
      <c r="G174" s="15"/>
      <c r="H174" s="112"/>
      <c r="I174" s="15"/>
      <c r="J174" s="15"/>
      <c r="K174" s="9"/>
      <c r="L174" s="163"/>
    </row>
    <row r="175" spans="1:12" ht="15.5" x14ac:dyDescent="0.35">
      <c r="A175" s="136">
        <v>126</v>
      </c>
      <c r="B175" s="86" t="s">
        <v>820</v>
      </c>
      <c r="C175" s="87" t="s">
        <v>12</v>
      </c>
      <c r="D175" s="112">
        <v>0.55000000000000004</v>
      </c>
      <c r="E175" s="15"/>
      <c r="F175" s="15">
        <f>D175+E175</f>
        <v>0.55000000000000004</v>
      </c>
      <c r="G175" s="15"/>
      <c r="H175" s="112">
        <f>MROUND((D175*(1+Sheet1!$C$3)),0.1)</f>
        <v>0.60000000000000009</v>
      </c>
      <c r="I175" s="15"/>
      <c r="J175" s="15">
        <f>H175+I175</f>
        <v>0.60000000000000009</v>
      </c>
      <c r="K175" s="9">
        <f>J175-F175</f>
        <v>5.0000000000000044E-2</v>
      </c>
      <c r="L175" s="8">
        <f>IF(F175="","NEW",K175/F175)</f>
        <v>9.0909090909090981E-2</v>
      </c>
    </row>
    <row r="176" spans="1:12" ht="15.5" x14ac:dyDescent="0.35">
      <c r="A176" s="136"/>
      <c r="B176" s="86"/>
      <c r="C176" s="87"/>
      <c r="D176" s="112"/>
      <c r="E176" s="15"/>
      <c r="F176" s="15"/>
      <c r="G176" s="15"/>
      <c r="H176" s="112"/>
      <c r="I176" s="15"/>
      <c r="J176" s="15"/>
      <c r="K176" s="9"/>
      <c r="L176" s="163"/>
    </row>
    <row r="177" spans="1:12" ht="18" x14ac:dyDescent="0.35">
      <c r="A177" s="136"/>
      <c r="B177" s="269" t="s">
        <v>821</v>
      </c>
      <c r="C177" s="87"/>
      <c r="D177" s="112"/>
      <c r="E177" s="15"/>
      <c r="F177" s="15"/>
      <c r="G177" s="15"/>
      <c r="H177" s="112"/>
      <c r="I177" s="15"/>
      <c r="J177" s="15"/>
      <c r="K177" s="9"/>
      <c r="L177" s="163"/>
    </row>
    <row r="178" spans="1:12" ht="15.5" x14ac:dyDescent="0.35">
      <c r="A178" s="136">
        <f>A175+1</f>
        <v>127</v>
      </c>
      <c r="B178" s="86" t="s">
        <v>822</v>
      </c>
      <c r="C178" s="87" t="s">
        <v>191</v>
      </c>
      <c r="D178" s="112">
        <v>230</v>
      </c>
      <c r="E178" s="15"/>
      <c r="F178" s="15">
        <f>D178+E178</f>
        <v>230</v>
      </c>
      <c r="G178" s="15"/>
      <c r="H178" s="112">
        <f>MROUND((D178*(1+Sheet1!$C$3)),0.1)+3.7</f>
        <v>240</v>
      </c>
      <c r="I178" s="15"/>
      <c r="J178" s="15">
        <f>H178+I178</f>
        <v>240</v>
      </c>
      <c r="K178" s="9">
        <f>J178-F178</f>
        <v>10</v>
      </c>
      <c r="L178" s="8">
        <f>IF(F178="","NEW",K178/F178)</f>
        <v>4.3478260869565216E-2</v>
      </c>
    </row>
    <row r="179" spans="1:12" ht="15.5" x14ac:dyDescent="0.35">
      <c r="A179" s="136">
        <f>A178+1</f>
        <v>128</v>
      </c>
      <c r="B179" s="86" t="s">
        <v>823</v>
      </c>
      <c r="C179" s="87" t="s">
        <v>191</v>
      </c>
      <c r="D179" s="112">
        <v>30</v>
      </c>
      <c r="E179" s="15"/>
      <c r="F179" s="15">
        <f>D179+E179</f>
        <v>30</v>
      </c>
      <c r="G179" s="15"/>
      <c r="H179" s="112">
        <f>MROUND((D179*(1+Sheet1!$C$3)),0.1)+1.2</f>
        <v>32</v>
      </c>
      <c r="I179" s="15"/>
      <c r="J179" s="15">
        <f>H179+I179</f>
        <v>32</v>
      </c>
      <c r="K179" s="9">
        <f>J179-F179</f>
        <v>2</v>
      </c>
      <c r="L179" s="8">
        <f>IF(F179="","NEW",K179/F179)</f>
        <v>6.6666666666666666E-2</v>
      </c>
    </row>
    <row r="180" spans="1:12" ht="15.5" x14ac:dyDescent="0.35">
      <c r="A180" s="136">
        <f>A179+1</f>
        <v>129</v>
      </c>
      <c r="B180" s="86" t="s">
        <v>824</v>
      </c>
      <c r="C180" s="87"/>
      <c r="D180" s="523" t="s">
        <v>825</v>
      </c>
      <c r="E180" s="524"/>
      <c r="F180" s="525"/>
      <c r="G180" s="15"/>
      <c r="H180" s="523" t="s">
        <v>825</v>
      </c>
      <c r="I180" s="524"/>
      <c r="J180" s="525"/>
      <c r="K180" s="9"/>
      <c r="L180" s="8"/>
    </row>
    <row r="181" spans="1:12" ht="15.5" x14ac:dyDescent="0.35">
      <c r="A181" s="136"/>
      <c r="B181" s="86"/>
      <c r="C181" s="87"/>
      <c r="D181" s="112"/>
      <c r="E181" s="15"/>
      <c r="F181" s="15"/>
      <c r="G181" s="15"/>
      <c r="H181" s="112"/>
      <c r="I181" s="15"/>
      <c r="J181" s="15"/>
      <c r="K181" s="9"/>
      <c r="L181" s="163"/>
    </row>
    <row r="182" spans="1:12" ht="18" x14ac:dyDescent="0.35">
      <c r="A182" s="136"/>
      <c r="B182" s="269" t="s">
        <v>826</v>
      </c>
      <c r="C182" s="87"/>
      <c r="D182" s="112"/>
      <c r="E182" s="15"/>
      <c r="F182" s="15"/>
      <c r="G182" s="15"/>
      <c r="H182" s="112"/>
      <c r="I182" s="15"/>
      <c r="J182" s="15"/>
      <c r="K182" s="9"/>
      <c r="L182" s="163"/>
    </row>
    <row r="183" spans="1:12" ht="15.5" x14ac:dyDescent="0.35">
      <c r="A183" s="136">
        <f>A180+1</f>
        <v>130</v>
      </c>
      <c r="B183" s="86" t="s">
        <v>827</v>
      </c>
      <c r="C183" s="87" t="s">
        <v>191</v>
      </c>
      <c r="D183" s="112">
        <v>166.67</v>
      </c>
      <c r="E183" s="65">
        <f>ROUND(D183*0.2,2)</f>
        <v>33.33</v>
      </c>
      <c r="F183" s="15">
        <f>D183+E183</f>
        <v>200</v>
      </c>
      <c r="G183" s="15"/>
      <c r="H183" s="112">
        <f>MROUND((D183*(1+Sheet1!$C$3)),0.1)-0.47</f>
        <v>170.83</v>
      </c>
      <c r="I183" s="65">
        <f>ROUND(H183*0.2,2)</f>
        <v>34.17</v>
      </c>
      <c r="J183" s="15">
        <f>H183+I183</f>
        <v>205</v>
      </c>
      <c r="K183" s="9">
        <f>J183-F183</f>
        <v>5</v>
      </c>
      <c r="L183" s="8">
        <f>IF(F183="","NEW",K183/F183)</f>
        <v>2.5000000000000001E-2</v>
      </c>
    </row>
    <row r="184" spans="1:12" ht="31" x14ac:dyDescent="0.35">
      <c r="A184" s="136">
        <f>A183+1</f>
        <v>131</v>
      </c>
      <c r="B184" s="86" t="s">
        <v>828</v>
      </c>
      <c r="C184" s="87" t="s">
        <v>191</v>
      </c>
      <c r="D184" s="15"/>
      <c r="E184" s="15"/>
      <c r="F184" s="15"/>
      <c r="G184" s="15"/>
      <c r="H184" s="112"/>
      <c r="I184" s="15"/>
      <c r="J184" s="15"/>
      <c r="K184" s="41"/>
      <c r="L184" s="163"/>
    </row>
    <row r="185" spans="1:12" ht="15.5" x14ac:dyDescent="0.35">
      <c r="A185" s="161"/>
      <c r="C185" s="439"/>
      <c r="D185" s="440"/>
      <c r="E185" s="440"/>
      <c r="F185" s="440"/>
      <c r="G185" s="440"/>
      <c r="H185" s="441"/>
      <c r="I185" s="440"/>
      <c r="J185" s="440"/>
      <c r="K185" s="442"/>
      <c r="L185" s="443"/>
    </row>
    <row r="186" spans="1:12" ht="54.5" thickBot="1" x14ac:dyDescent="0.4">
      <c r="A186" s="136"/>
      <c r="B186" s="269" t="s">
        <v>1495</v>
      </c>
      <c r="C186" s="87"/>
      <c r="D186" s="112"/>
      <c r="E186" s="15"/>
      <c r="F186" s="15"/>
      <c r="G186" s="15"/>
      <c r="H186" s="112"/>
      <c r="I186" s="15"/>
      <c r="J186" s="15"/>
      <c r="K186" s="9"/>
      <c r="L186" s="163"/>
    </row>
    <row r="187" spans="1:12" ht="16.5" customHeight="1" thickTop="1" x14ac:dyDescent="0.35">
      <c r="A187" s="136">
        <f>A184+1</f>
        <v>132</v>
      </c>
      <c r="B187" s="86" t="s">
        <v>1497</v>
      </c>
      <c r="C187" s="87" t="s">
        <v>191</v>
      </c>
      <c r="D187" s="523" t="s">
        <v>1496</v>
      </c>
      <c r="E187" s="524"/>
      <c r="F187" s="525"/>
      <c r="G187" s="15"/>
      <c r="H187" s="112">
        <v>1500</v>
      </c>
      <c r="I187" s="65"/>
      <c r="J187" s="15">
        <f t="shared" ref="J187:J192" si="63">H187+I187</f>
        <v>1500</v>
      </c>
      <c r="K187" s="9">
        <f t="shared" ref="K187:K192" si="64">J187-F187</f>
        <v>1500</v>
      </c>
      <c r="L187" s="8" t="str">
        <f t="shared" ref="L187:L192" si="65">IF(F187="","NEW",K187/F187)</f>
        <v>NEW</v>
      </c>
    </row>
    <row r="188" spans="1:12" ht="31" x14ac:dyDescent="0.35">
      <c r="A188" s="136">
        <f>A187+1</f>
        <v>133</v>
      </c>
      <c r="B188" s="86" t="s">
        <v>1498</v>
      </c>
      <c r="C188" s="87" t="s">
        <v>191</v>
      </c>
      <c r="D188" s="523" t="s">
        <v>1496</v>
      </c>
      <c r="E188" s="524"/>
      <c r="F188" s="525"/>
      <c r="G188" s="15"/>
      <c r="H188" s="112">
        <v>1000</v>
      </c>
      <c r="I188" s="65"/>
      <c r="J188" s="15">
        <f t="shared" si="63"/>
        <v>1000</v>
      </c>
      <c r="K188" s="9">
        <f t="shared" si="64"/>
        <v>1000</v>
      </c>
      <c r="L188" s="8" t="str">
        <f t="shared" si="65"/>
        <v>NEW</v>
      </c>
    </row>
    <row r="189" spans="1:12" ht="31" x14ac:dyDescent="0.35">
      <c r="A189" s="136">
        <f t="shared" ref="A189:A192" si="66">A188+1</f>
        <v>134</v>
      </c>
      <c r="B189" s="86" t="s">
        <v>1499</v>
      </c>
      <c r="C189" s="87" t="s">
        <v>191</v>
      </c>
      <c r="D189" s="523" t="s">
        <v>1496</v>
      </c>
      <c r="E189" s="524"/>
      <c r="F189" s="525"/>
      <c r="G189" s="15"/>
      <c r="H189" s="112">
        <v>1000</v>
      </c>
      <c r="I189" s="65"/>
      <c r="J189" s="15">
        <f t="shared" si="63"/>
        <v>1000</v>
      </c>
      <c r="K189" s="9">
        <f t="shared" si="64"/>
        <v>1000</v>
      </c>
      <c r="L189" s="8" t="str">
        <f t="shared" si="65"/>
        <v>NEW</v>
      </c>
    </row>
    <row r="190" spans="1:12" ht="31" x14ac:dyDescent="0.35">
      <c r="A190" s="136">
        <f t="shared" si="66"/>
        <v>135</v>
      </c>
      <c r="B190" s="86" t="s">
        <v>1500</v>
      </c>
      <c r="C190" s="87" t="s">
        <v>191</v>
      </c>
      <c r="D190" s="523" t="s">
        <v>1496</v>
      </c>
      <c r="E190" s="524"/>
      <c r="F190" s="525"/>
      <c r="G190" s="15"/>
      <c r="H190" s="112">
        <v>1500</v>
      </c>
      <c r="I190" s="65"/>
      <c r="J190" s="15">
        <f t="shared" si="63"/>
        <v>1500</v>
      </c>
      <c r="K190" s="9">
        <f t="shared" si="64"/>
        <v>1500</v>
      </c>
      <c r="L190" s="8" t="str">
        <f t="shared" si="65"/>
        <v>NEW</v>
      </c>
    </row>
    <row r="191" spans="1:12" ht="31" x14ac:dyDescent="0.35">
      <c r="A191" s="136">
        <f t="shared" si="66"/>
        <v>136</v>
      </c>
      <c r="B191" s="86" t="s">
        <v>1501</v>
      </c>
      <c r="C191" s="87" t="s">
        <v>191</v>
      </c>
      <c r="D191" s="523" t="s">
        <v>1496</v>
      </c>
      <c r="E191" s="524"/>
      <c r="F191" s="525"/>
      <c r="G191" s="15"/>
      <c r="H191" s="112">
        <v>4000</v>
      </c>
      <c r="I191" s="65"/>
      <c r="J191" s="15">
        <f t="shared" si="63"/>
        <v>4000</v>
      </c>
      <c r="K191" s="9">
        <f t="shared" si="64"/>
        <v>4000</v>
      </c>
      <c r="L191" s="8" t="str">
        <f t="shared" si="65"/>
        <v>NEW</v>
      </c>
    </row>
    <row r="192" spans="1:12" ht="31" x14ac:dyDescent="0.35">
      <c r="A192" s="136">
        <f t="shared" si="66"/>
        <v>137</v>
      </c>
      <c r="B192" s="86" t="s">
        <v>1502</v>
      </c>
      <c r="C192" s="87" t="s">
        <v>191</v>
      </c>
      <c r="D192" s="523" t="s">
        <v>1496</v>
      </c>
      <c r="E192" s="524"/>
      <c r="F192" s="525"/>
      <c r="G192" s="15"/>
      <c r="H192" s="112">
        <v>4000</v>
      </c>
      <c r="I192" s="65"/>
      <c r="J192" s="15">
        <f t="shared" si="63"/>
        <v>4000</v>
      </c>
      <c r="K192" s="9">
        <f t="shared" si="64"/>
        <v>4000</v>
      </c>
      <c r="L192" s="8" t="str">
        <f t="shared" si="65"/>
        <v>NEW</v>
      </c>
    </row>
    <row r="193" spans="1:12" ht="15.5" x14ac:dyDescent="0.35">
      <c r="A193" s="161"/>
      <c r="C193" s="439"/>
      <c r="D193" s="440"/>
      <c r="E193" s="440"/>
      <c r="F193" s="440"/>
      <c r="G193" s="440"/>
      <c r="H193" s="441"/>
      <c r="I193" s="440"/>
      <c r="J193" s="440"/>
      <c r="K193" s="442"/>
      <c r="L193" s="443"/>
    </row>
    <row r="194" spans="1:12" ht="15.5" x14ac:dyDescent="0.35">
      <c r="A194" s="161"/>
      <c r="C194" s="439"/>
      <c r="D194" s="440"/>
      <c r="E194" s="440"/>
      <c r="F194" s="440"/>
      <c r="G194" s="440"/>
      <c r="H194" s="441"/>
      <c r="I194" s="440"/>
      <c r="J194" s="440"/>
      <c r="K194" s="442"/>
      <c r="L194" s="443"/>
    </row>
    <row r="195" spans="1:12" ht="20.25" customHeight="1" x14ac:dyDescent="0.35">
      <c r="A195" s="57" t="s">
        <v>829</v>
      </c>
      <c r="B195" s="173"/>
    </row>
  </sheetData>
  <mergeCells count="27">
    <mergeCell ref="D99:J99"/>
    <mergeCell ref="D113:J113"/>
    <mergeCell ref="D114:J114"/>
    <mergeCell ref="D180:F180"/>
    <mergeCell ref="H180:J180"/>
    <mergeCell ref="H172:J172"/>
    <mergeCell ref="D172:F172"/>
    <mergeCell ref="D97:J97"/>
    <mergeCell ref="A1:B1"/>
    <mergeCell ref="K1:L1"/>
    <mergeCell ref="D18:J18"/>
    <mergeCell ref="D94:J94"/>
    <mergeCell ref="D95:J95"/>
    <mergeCell ref="H64:J64"/>
    <mergeCell ref="H65:J65"/>
    <mergeCell ref="D64:F64"/>
    <mergeCell ref="D65:F65"/>
    <mergeCell ref="H90:J90"/>
    <mergeCell ref="H91:J91"/>
    <mergeCell ref="H92:J92"/>
    <mergeCell ref="H93:J93"/>
    <mergeCell ref="D192:F192"/>
    <mergeCell ref="D187:F187"/>
    <mergeCell ref="D188:F188"/>
    <mergeCell ref="D189:F189"/>
    <mergeCell ref="D190:F190"/>
    <mergeCell ref="D191:F191"/>
  </mergeCells>
  <conditionalFormatting sqref="L5:L84 L124:L133 L136:L166">
    <cfRule type="cellIs" dxfId="23" priority="69" operator="equal">
      <formula>"NEW"</formula>
    </cfRule>
  </conditionalFormatting>
  <conditionalFormatting sqref="L86:L106">
    <cfRule type="cellIs" dxfId="22" priority="76" operator="equal">
      <formula>"NEW"</formula>
    </cfRule>
  </conditionalFormatting>
  <conditionalFormatting sqref="L110">
    <cfRule type="cellIs" dxfId="21" priority="67" operator="equal">
      <formula>"NEW"</formula>
    </cfRule>
  </conditionalFormatting>
  <conditionalFormatting sqref="L117:L118">
    <cfRule type="cellIs" dxfId="20" priority="100" operator="equal">
      <formula>"NEW"</formula>
    </cfRule>
  </conditionalFormatting>
  <conditionalFormatting sqref="L121">
    <cfRule type="cellIs" dxfId="19" priority="99" operator="equal">
      <formula>"NEW"</formula>
    </cfRule>
  </conditionalFormatting>
  <conditionalFormatting sqref="L169:L172">
    <cfRule type="cellIs" dxfId="18" priority="66" operator="equal">
      <formula>"NEW"</formula>
    </cfRule>
  </conditionalFormatting>
  <conditionalFormatting sqref="L175 L178:L180 L183">
    <cfRule type="cellIs" dxfId="17" priority="97" operator="equal">
      <formula>"NEW"</formula>
    </cfRule>
  </conditionalFormatting>
  <conditionalFormatting sqref="L187:L192">
    <cfRule type="cellIs" dxfId="16" priority="1" operator="equal">
      <formula>"NEW"</formula>
    </cfRule>
  </conditionalFormatting>
  <conditionalFormatting sqref="V19">
    <cfRule type="cellIs" dxfId="15" priority="156" operator="equal">
      <formula>"NEW"</formula>
    </cfRule>
  </conditionalFormatting>
  <dataValidations count="1">
    <dataValidation type="list" allowBlank="1" showInputMessage="1" showErrorMessage="1" sqref="C5:C31 C33:C133 C135:C194" xr:uid="{6F102826-AFF7-497C-83CB-A330B5813ECB}">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3" fitToHeight="0" orientation="landscape" r:id="rId1"/>
  <headerFooter alignWithMargins="0">
    <oddHeader>&amp;L&amp;"Arial,Bold"&amp;16&amp;A&amp;C&amp;"Arial,Bold"&amp;16FEES AND CHARGES 2024/25</oddHeader>
    <oddFooter>&amp;L&amp;"Arial,Bold"&amp;16&amp;A&amp;C&amp;"Arial,Bold"&amp;16&amp;P</oddFooter>
  </headerFooter>
  <rowBreaks count="2" manualBreakCount="2">
    <brk id="30" max="13" man="1"/>
    <brk id="98"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6FB6-1682-4401-B6EF-6D6D96B741A1}">
  <dimension ref="A1:L81"/>
  <sheetViews>
    <sheetView zoomScaleNormal="100" zoomScaleSheetLayoutView="70" workbookViewId="0">
      <selection sqref="A1:B1"/>
    </sheetView>
  </sheetViews>
  <sheetFormatPr defaultColWidth="9.1796875" defaultRowHeight="15.5" x14ac:dyDescent="0.25"/>
  <cols>
    <col min="1" max="1" width="5.7265625" style="179" customWidth="1"/>
    <col min="2" max="2" width="80.453125" style="197" customWidth="1"/>
    <col min="3" max="3" width="24.453125" style="198" customWidth="1"/>
    <col min="4" max="4" width="16" style="196" customWidth="1"/>
    <col min="5" max="5" width="10.54296875" style="196" customWidth="1"/>
    <col min="6" max="6" width="16.26953125" style="199" customWidth="1"/>
    <col min="7" max="7" width="3.453125" style="199" customWidth="1"/>
    <col min="8" max="8" width="16.26953125" style="199" customWidth="1"/>
    <col min="9" max="9" width="10.54296875" style="199" customWidth="1"/>
    <col min="10" max="10" width="16.26953125" style="199" customWidth="1"/>
    <col min="11" max="11" width="12.26953125" style="49" customWidth="1"/>
    <col min="12" max="12" width="11" style="50" customWidth="1"/>
    <col min="13" max="16384" width="9.1796875" style="178"/>
  </cols>
  <sheetData>
    <row r="1" spans="1:12" s="119" customFormat="1" ht="76.5" thickBot="1" x14ac:dyDescent="0.45">
      <c r="A1" s="520" t="s">
        <v>1</v>
      </c>
      <c r="B1" s="521"/>
      <c r="C1" s="26" t="s">
        <v>2</v>
      </c>
      <c r="D1" s="26" t="s">
        <v>3</v>
      </c>
      <c r="E1" s="26" t="s">
        <v>4</v>
      </c>
      <c r="F1" s="26" t="s">
        <v>5</v>
      </c>
      <c r="G1" s="26"/>
      <c r="H1" s="26" t="s">
        <v>6</v>
      </c>
      <c r="I1" s="26" t="s">
        <v>4</v>
      </c>
      <c r="J1" s="26" t="s">
        <v>7</v>
      </c>
      <c r="K1" s="522" t="s">
        <v>8</v>
      </c>
      <c r="L1" s="522"/>
    </row>
    <row r="2" spans="1:12" ht="16" thickTop="1" x14ac:dyDescent="0.25">
      <c r="A2" s="175"/>
      <c r="B2" s="176"/>
      <c r="C2" s="31"/>
      <c r="D2" s="21" t="s">
        <v>9</v>
      </c>
      <c r="E2" s="21" t="s">
        <v>9</v>
      </c>
      <c r="F2" s="21" t="s">
        <v>9</v>
      </c>
      <c r="G2" s="32"/>
      <c r="H2" s="21" t="s">
        <v>9</v>
      </c>
      <c r="I2" s="21" t="s">
        <v>9</v>
      </c>
      <c r="J2" s="21" t="s">
        <v>9</v>
      </c>
      <c r="K2" s="21" t="s">
        <v>9</v>
      </c>
      <c r="L2" s="20" t="s">
        <v>10</v>
      </c>
    </row>
    <row r="3" spans="1:12" x14ac:dyDescent="0.35">
      <c r="B3" s="180"/>
      <c r="C3" s="181"/>
      <c r="D3" s="182"/>
      <c r="E3" s="182"/>
      <c r="F3" s="183"/>
      <c r="G3" s="183"/>
      <c r="H3" s="183"/>
      <c r="I3" s="183"/>
      <c r="J3" s="183"/>
      <c r="K3" s="33"/>
      <c r="L3" s="20"/>
    </row>
    <row r="4" spans="1:12" ht="18.5" thickBot="1" x14ac:dyDescent="0.45">
      <c r="A4" s="175"/>
      <c r="B4" s="272" t="s">
        <v>830</v>
      </c>
      <c r="C4" s="184"/>
      <c r="D4" s="182"/>
      <c r="E4" s="182"/>
      <c r="F4" s="183"/>
      <c r="G4" s="183"/>
      <c r="H4" s="183"/>
      <c r="I4" s="183"/>
      <c r="J4" s="183"/>
      <c r="K4" s="103"/>
      <c r="L4" s="141"/>
    </row>
    <row r="5" spans="1:12" ht="16" thickTop="1" x14ac:dyDescent="0.35">
      <c r="A5" s="185">
        <v>1</v>
      </c>
      <c r="B5" s="186" t="s">
        <v>831</v>
      </c>
      <c r="C5" s="184" t="s">
        <v>191</v>
      </c>
      <c r="D5" s="65">
        <v>1210</v>
      </c>
      <c r="E5" s="65"/>
      <c r="F5" s="65">
        <f>D5+E5</f>
        <v>1210</v>
      </c>
      <c r="G5" s="65"/>
      <c r="H5" s="65">
        <v>1250</v>
      </c>
      <c r="I5" s="65"/>
      <c r="J5" s="65">
        <f>H5+I5</f>
        <v>1250</v>
      </c>
      <c r="K5" s="187">
        <f>J5-F5</f>
        <v>40</v>
      </c>
      <c r="L5" s="141">
        <f>IF(F5="","NEW",K5/F5)</f>
        <v>3.3057851239669422E-2</v>
      </c>
    </row>
    <row r="6" spans="1:12" s="177" customFormat="1" x14ac:dyDescent="0.35">
      <c r="A6" s="185">
        <f>+A5+1</f>
        <v>2</v>
      </c>
      <c r="B6" s="186" t="s">
        <v>832</v>
      </c>
      <c r="C6" s="184" t="s">
        <v>191</v>
      </c>
      <c r="D6" s="65">
        <v>110</v>
      </c>
      <c r="E6" s="65"/>
      <c r="F6" s="65">
        <f>D6+E6</f>
        <v>110</v>
      </c>
      <c r="G6" s="65"/>
      <c r="H6" s="65">
        <v>113</v>
      </c>
      <c r="I6" s="65"/>
      <c r="J6" s="65">
        <f>H6+I6</f>
        <v>113</v>
      </c>
      <c r="K6" s="187">
        <f>J6-F6</f>
        <v>3</v>
      </c>
      <c r="L6" s="141">
        <f>IF(F6="","NEW",K6/F6)</f>
        <v>2.7272727272727271E-2</v>
      </c>
    </row>
    <row r="7" spans="1:12" s="177" customFormat="1" ht="48" customHeight="1" x14ac:dyDescent="0.35">
      <c r="A7" s="185">
        <f>+A6+1</f>
        <v>3</v>
      </c>
      <c r="B7" s="486" t="s">
        <v>833</v>
      </c>
      <c r="C7" s="184" t="s">
        <v>191</v>
      </c>
      <c r="D7" s="65">
        <v>808</v>
      </c>
      <c r="E7" s="65"/>
      <c r="F7" s="65">
        <f>D7+E7</f>
        <v>808</v>
      </c>
      <c r="G7" s="65"/>
      <c r="H7" s="65">
        <v>808</v>
      </c>
      <c r="I7" s="65"/>
      <c r="J7" s="65">
        <f>H7+I7</f>
        <v>808</v>
      </c>
      <c r="K7" s="187">
        <f>J7-F7</f>
        <v>0</v>
      </c>
      <c r="L7" s="141">
        <f>IF(F7="","NEW",K7/F7)</f>
        <v>0</v>
      </c>
    </row>
    <row r="8" spans="1:12" s="177" customFormat="1" ht="36" customHeight="1" x14ac:dyDescent="0.35">
      <c r="A8" s="185"/>
      <c r="B8" s="596" t="s">
        <v>834</v>
      </c>
      <c r="C8" s="597"/>
      <c r="D8" s="597"/>
      <c r="E8" s="597"/>
      <c r="F8" s="597"/>
      <c r="G8" s="597"/>
      <c r="H8" s="597"/>
      <c r="I8" s="597"/>
      <c r="J8" s="597"/>
      <c r="K8" s="597"/>
      <c r="L8" s="598"/>
    </row>
    <row r="9" spans="1:12" s="177" customFormat="1" x14ac:dyDescent="0.35">
      <c r="A9" s="185"/>
      <c r="B9" s="186"/>
      <c r="C9" s="184"/>
      <c r="D9" s="65"/>
      <c r="E9" s="65"/>
      <c r="F9" s="65"/>
      <c r="G9" s="65"/>
      <c r="H9" s="65"/>
      <c r="I9" s="65"/>
      <c r="J9" s="65"/>
      <c r="K9" s="187"/>
      <c r="L9" s="141"/>
    </row>
    <row r="10" spans="1:12" s="177" customFormat="1" ht="15.65" customHeight="1" x14ac:dyDescent="0.35">
      <c r="A10" s="185">
        <f>+A7+1</f>
        <v>4</v>
      </c>
      <c r="B10" s="186" t="s">
        <v>835</v>
      </c>
      <c r="C10" s="184" t="s">
        <v>191</v>
      </c>
      <c r="D10" s="65">
        <v>730</v>
      </c>
      <c r="E10" s="65"/>
      <c r="F10" s="65">
        <f>D10+E10</f>
        <v>730</v>
      </c>
      <c r="G10" s="65"/>
      <c r="H10" s="65">
        <f>MROUND((D10*(1+Sheet1!$C$3)),5)</f>
        <v>750</v>
      </c>
      <c r="I10" s="65"/>
      <c r="J10" s="65">
        <f>H10+I10</f>
        <v>750</v>
      </c>
      <c r="K10" s="187">
        <f>J10-F10</f>
        <v>20</v>
      </c>
      <c r="L10" s="141">
        <f>IF(F10="","NEW",K10/F10)</f>
        <v>2.7397260273972601E-2</v>
      </c>
    </row>
    <row r="11" spans="1:12" s="177" customFormat="1" ht="15.65" customHeight="1" x14ac:dyDescent="0.35">
      <c r="A11" s="185">
        <f>+A10+1</f>
        <v>5</v>
      </c>
      <c r="B11" s="186" t="s">
        <v>836</v>
      </c>
      <c r="C11" s="184" t="s">
        <v>19</v>
      </c>
      <c r="D11" s="65">
        <v>200</v>
      </c>
      <c r="E11" s="65"/>
      <c r="F11" s="65">
        <f>D11+E11</f>
        <v>200</v>
      </c>
      <c r="G11" s="65"/>
      <c r="H11" s="65">
        <v>200</v>
      </c>
      <c r="I11" s="65"/>
      <c r="J11" s="65">
        <f>H11+I11</f>
        <v>200</v>
      </c>
      <c r="K11" s="187">
        <f>J11-F11</f>
        <v>0</v>
      </c>
      <c r="L11" s="141">
        <f>IF(F11="","NEW",K11/F11)</f>
        <v>0</v>
      </c>
    </row>
    <row r="12" spans="1:12" s="177" customFormat="1" ht="15.65" customHeight="1" x14ac:dyDescent="0.35">
      <c r="A12" s="185">
        <f>+A11+1</f>
        <v>6</v>
      </c>
      <c r="B12" s="186" t="s">
        <v>837</v>
      </c>
      <c r="C12" s="184" t="s">
        <v>12</v>
      </c>
      <c r="D12" s="65">
        <v>245</v>
      </c>
      <c r="E12" s="65"/>
      <c r="F12" s="65">
        <f>D12+E12</f>
        <v>245</v>
      </c>
      <c r="G12" s="65"/>
      <c r="H12" s="65">
        <f>MROUND((D12*(1+Sheet1!$C$3)),5)</f>
        <v>250</v>
      </c>
      <c r="I12" s="65"/>
      <c r="J12" s="65">
        <f>H12+I12</f>
        <v>250</v>
      </c>
      <c r="K12" s="187">
        <f>J12-F12</f>
        <v>5</v>
      </c>
      <c r="L12" s="141">
        <f>IF(F12="","NEW",K12/F12)</f>
        <v>2.0408163265306121E-2</v>
      </c>
    </row>
    <row r="13" spans="1:12" s="177" customFormat="1" ht="15.65" customHeight="1" x14ac:dyDescent="0.35">
      <c r="A13" s="185">
        <f>+A12+1</f>
        <v>7</v>
      </c>
      <c r="B13" s="186" t="s">
        <v>838</v>
      </c>
      <c r="C13" s="184" t="s">
        <v>12</v>
      </c>
      <c r="D13" s="65">
        <v>85</v>
      </c>
      <c r="E13" s="65"/>
      <c r="F13" s="65">
        <f>D13+E13</f>
        <v>85</v>
      </c>
      <c r="G13" s="65"/>
      <c r="H13" s="65">
        <f>MROUND((D13*(1+Sheet1!$C$3)),5)</f>
        <v>85</v>
      </c>
      <c r="I13" s="65"/>
      <c r="J13" s="65">
        <f>H13+I13</f>
        <v>85</v>
      </c>
      <c r="K13" s="187">
        <f>J13-F13</f>
        <v>0</v>
      </c>
      <c r="L13" s="141">
        <f>IF(F13="","NEW",K13/F13)</f>
        <v>0</v>
      </c>
    </row>
    <row r="14" spans="1:12" s="177" customFormat="1" ht="15.65" customHeight="1" x14ac:dyDescent="0.35">
      <c r="A14" s="185">
        <f>+A13+1</f>
        <v>8</v>
      </c>
      <c r="B14" s="186" t="s">
        <v>839</v>
      </c>
      <c r="C14" s="184" t="s">
        <v>191</v>
      </c>
      <c r="D14" s="65">
        <v>730</v>
      </c>
      <c r="E14" s="65"/>
      <c r="F14" s="65">
        <f>D14+E14</f>
        <v>730</v>
      </c>
      <c r="G14" s="65"/>
      <c r="H14" s="65">
        <f>MROUND((D14*(1+Sheet1!$C$3)),5)</f>
        <v>750</v>
      </c>
      <c r="I14" s="65"/>
      <c r="J14" s="65">
        <f>H14+I14</f>
        <v>750</v>
      </c>
      <c r="K14" s="187">
        <f>J14-F14</f>
        <v>20</v>
      </c>
      <c r="L14" s="141">
        <f>IF(F14="","NEW",K14/F14)</f>
        <v>2.7397260273972601E-2</v>
      </c>
    </row>
    <row r="15" spans="1:12" s="177" customFormat="1" ht="15.65" customHeight="1" x14ac:dyDescent="0.35">
      <c r="A15" s="185"/>
      <c r="B15" s="186"/>
      <c r="C15" s="184"/>
      <c r="D15" s="65"/>
      <c r="E15" s="65"/>
      <c r="F15" s="65"/>
      <c r="G15" s="65"/>
      <c r="H15" s="65"/>
      <c r="I15" s="65"/>
      <c r="J15" s="65"/>
      <c r="K15" s="187"/>
      <c r="L15" s="141"/>
    </row>
    <row r="16" spans="1:12" s="177" customFormat="1" ht="15.65" customHeight="1" x14ac:dyDescent="0.35">
      <c r="A16" s="185">
        <f>+A14+1</f>
        <v>9</v>
      </c>
      <c r="B16" s="186" t="s">
        <v>840</v>
      </c>
      <c r="C16" s="184" t="s">
        <v>191</v>
      </c>
      <c r="D16" s="65">
        <v>730</v>
      </c>
      <c r="E16" s="65"/>
      <c r="F16" s="65">
        <f t="shared" ref="F16:F20" si="0">D16+E16</f>
        <v>730</v>
      </c>
      <c r="G16" s="65"/>
      <c r="H16" s="65">
        <f>MROUND((D16*(1+Sheet1!$C$3)),5)</f>
        <v>750</v>
      </c>
      <c r="I16" s="65"/>
      <c r="J16" s="65">
        <f t="shared" ref="J16:J20" si="1">H16+I16</f>
        <v>750</v>
      </c>
      <c r="K16" s="187">
        <f t="shared" ref="K16:K20" si="2">J16-F16</f>
        <v>20</v>
      </c>
      <c r="L16" s="141">
        <f t="shared" ref="L16:L20" si="3">IF(F16="","NEW",K16/F16)</f>
        <v>2.7397260273972601E-2</v>
      </c>
    </row>
    <row r="17" spans="1:12" s="177" customFormat="1" ht="15.65" customHeight="1" x14ac:dyDescent="0.35">
      <c r="A17" s="185">
        <f>+A16+1</f>
        <v>10</v>
      </c>
      <c r="B17" s="186" t="s">
        <v>841</v>
      </c>
      <c r="C17" s="184" t="s">
        <v>191</v>
      </c>
      <c r="D17" s="65">
        <v>730</v>
      </c>
      <c r="E17" s="65"/>
      <c r="F17" s="65">
        <f t="shared" si="0"/>
        <v>730</v>
      </c>
      <c r="G17" s="65"/>
      <c r="H17" s="65">
        <f>MROUND((D17*(1+Sheet1!$C$3)),5)</f>
        <v>750</v>
      </c>
      <c r="I17" s="65"/>
      <c r="J17" s="65">
        <f t="shared" si="1"/>
        <v>750</v>
      </c>
      <c r="K17" s="187">
        <f t="shared" si="2"/>
        <v>20</v>
      </c>
      <c r="L17" s="141">
        <f t="shared" si="3"/>
        <v>2.7397260273972601E-2</v>
      </c>
    </row>
    <row r="18" spans="1:12" s="177" customFormat="1" ht="15.65" customHeight="1" x14ac:dyDescent="0.35">
      <c r="A18" s="185">
        <f>+A17+1</f>
        <v>11</v>
      </c>
      <c r="B18" s="186" t="s">
        <v>842</v>
      </c>
      <c r="C18" s="184" t="s">
        <v>191</v>
      </c>
      <c r="D18" s="65">
        <v>730</v>
      </c>
      <c r="E18" s="65"/>
      <c r="F18" s="65">
        <f t="shared" si="0"/>
        <v>730</v>
      </c>
      <c r="G18" s="65"/>
      <c r="H18" s="65">
        <f>MROUND((D18*(1+Sheet1!$C$3)),5)</f>
        <v>750</v>
      </c>
      <c r="I18" s="65"/>
      <c r="J18" s="65">
        <f t="shared" si="1"/>
        <v>750</v>
      </c>
      <c r="K18" s="187">
        <f t="shared" si="2"/>
        <v>20</v>
      </c>
      <c r="L18" s="141">
        <f t="shared" si="3"/>
        <v>2.7397260273972601E-2</v>
      </c>
    </row>
    <row r="19" spans="1:12" s="177" customFormat="1" ht="15.65" customHeight="1" x14ac:dyDescent="0.35">
      <c r="A19" s="185">
        <f>+A18+1</f>
        <v>12</v>
      </c>
      <c r="B19" s="186" t="s">
        <v>843</v>
      </c>
      <c r="C19" s="184" t="s">
        <v>191</v>
      </c>
      <c r="D19" s="65">
        <v>1335</v>
      </c>
      <c r="E19" s="65"/>
      <c r="F19" s="65">
        <f t="shared" si="0"/>
        <v>1335</v>
      </c>
      <c r="G19" s="65"/>
      <c r="H19" s="65">
        <f>MROUND((D19*(1+Sheet1!$C$3)),5)</f>
        <v>1370</v>
      </c>
      <c r="I19" s="65"/>
      <c r="J19" s="65">
        <f t="shared" si="1"/>
        <v>1370</v>
      </c>
      <c r="K19" s="187">
        <f t="shared" si="2"/>
        <v>35</v>
      </c>
      <c r="L19" s="141">
        <f t="shared" si="3"/>
        <v>2.6217228464419477E-2</v>
      </c>
    </row>
    <row r="20" spans="1:12" s="177" customFormat="1" ht="15.65" customHeight="1" x14ac:dyDescent="0.35">
      <c r="A20" s="185">
        <f>+A19+1</f>
        <v>13</v>
      </c>
      <c r="B20" s="186" t="s">
        <v>844</v>
      </c>
      <c r="C20" s="184" t="s">
        <v>191</v>
      </c>
      <c r="D20" s="65">
        <v>1335</v>
      </c>
      <c r="E20" s="65"/>
      <c r="F20" s="65">
        <f t="shared" si="0"/>
        <v>1335</v>
      </c>
      <c r="G20" s="65"/>
      <c r="H20" s="65">
        <f>MROUND((D20*(1+Sheet1!$C$3)),5)</f>
        <v>1370</v>
      </c>
      <c r="I20" s="65"/>
      <c r="J20" s="65">
        <f t="shared" si="1"/>
        <v>1370</v>
      </c>
      <c r="K20" s="187">
        <f t="shared" si="2"/>
        <v>35</v>
      </c>
      <c r="L20" s="141">
        <f t="shared" si="3"/>
        <v>2.6217228464419477E-2</v>
      </c>
    </row>
    <row r="21" spans="1:12" s="177" customFormat="1" ht="15.65" customHeight="1" x14ac:dyDescent="0.35">
      <c r="A21" s="185"/>
      <c r="B21" s="186"/>
      <c r="C21" s="184"/>
      <c r="D21" s="65"/>
      <c r="E21" s="65"/>
      <c r="F21" s="65"/>
      <c r="G21" s="65"/>
      <c r="H21" s="65"/>
      <c r="I21" s="65"/>
      <c r="J21" s="65"/>
      <c r="K21" s="187"/>
      <c r="L21" s="141"/>
    </row>
    <row r="22" spans="1:12" s="177" customFormat="1" ht="15.65" customHeight="1" x14ac:dyDescent="0.35">
      <c r="A22" s="185">
        <f>+A20+1</f>
        <v>14</v>
      </c>
      <c r="B22" s="186" t="s">
        <v>845</v>
      </c>
      <c r="C22" s="184" t="s">
        <v>191</v>
      </c>
      <c r="D22" s="65">
        <v>1650</v>
      </c>
      <c r="E22" s="65"/>
      <c r="F22" s="65">
        <f>D22+E22</f>
        <v>1650</v>
      </c>
      <c r="G22" s="65"/>
      <c r="H22" s="65">
        <f>MROUND((D22*(1+Sheet1!$C$3)),5)</f>
        <v>1695</v>
      </c>
      <c r="I22" s="65"/>
      <c r="J22" s="65">
        <f>H22+I22</f>
        <v>1695</v>
      </c>
      <c r="K22" s="187">
        <f>J22-F22</f>
        <v>45</v>
      </c>
      <c r="L22" s="141">
        <f>IF(F22="","NEW",K22/F22)</f>
        <v>2.7272727272727271E-2</v>
      </c>
    </row>
    <row r="23" spans="1:12" s="177" customFormat="1" ht="15.65" customHeight="1" x14ac:dyDescent="0.35">
      <c r="A23" s="185">
        <f>A22+1</f>
        <v>15</v>
      </c>
      <c r="B23" s="186" t="s">
        <v>846</v>
      </c>
      <c r="C23" s="184" t="s">
        <v>191</v>
      </c>
      <c r="D23" s="65">
        <v>110</v>
      </c>
      <c r="E23" s="65"/>
      <c r="F23" s="65">
        <f>D23+E23</f>
        <v>110</v>
      </c>
      <c r="G23" s="65"/>
      <c r="H23" s="65">
        <f>MROUND((D23*(1+Sheet1!$C$3)),5)</f>
        <v>115</v>
      </c>
      <c r="I23" s="65"/>
      <c r="J23" s="65">
        <f>H23+I23</f>
        <v>115</v>
      </c>
      <c r="K23" s="187">
        <f>J23-F23</f>
        <v>5</v>
      </c>
      <c r="L23" s="141">
        <f>IF(F23="","NEW",K23/F23)</f>
        <v>4.5454545454545456E-2</v>
      </c>
    </row>
    <row r="24" spans="1:12" s="177" customFormat="1" ht="15.65" customHeight="1" x14ac:dyDescent="0.35">
      <c r="A24" s="185">
        <f>A23+1</f>
        <v>16</v>
      </c>
      <c r="B24" s="186" t="s">
        <v>847</v>
      </c>
      <c r="C24" s="184" t="s">
        <v>191</v>
      </c>
      <c r="D24" s="65">
        <v>1650</v>
      </c>
      <c r="E24" s="65"/>
      <c r="F24" s="65">
        <f>D24+E24</f>
        <v>1650</v>
      </c>
      <c r="G24" s="65"/>
      <c r="H24" s="65">
        <f>MROUND((D24*(1+Sheet1!$C$3)),5)</f>
        <v>1695</v>
      </c>
      <c r="I24" s="65"/>
      <c r="J24" s="65">
        <f>H24+I24</f>
        <v>1695</v>
      </c>
      <c r="K24" s="187">
        <f>J24-F24</f>
        <v>45</v>
      </c>
      <c r="L24" s="141">
        <f>IF(F24="","NEW",K24/F24)</f>
        <v>2.7272727272727271E-2</v>
      </c>
    </row>
    <row r="25" spans="1:12" s="177" customFormat="1" ht="15.65" customHeight="1" x14ac:dyDescent="0.35">
      <c r="A25" s="185">
        <f>A24+1</f>
        <v>17</v>
      </c>
      <c r="B25" s="186" t="s">
        <v>846</v>
      </c>
      <c r="C25" s="184" t="s">
        <v>191</v>
      </c>
      <c r="D25" s="65">
        <v>110</v>
      </c>
      <c r="E25" s="65"/>
      <c r="F25" s="65">
        <f>D25+E25</f>
        <v>110</v>
      </c>
      <c r="G25" s="65"/>
      <c r="H25" s="65">
        <f>MROUND((D25*(1+Sheet1!$C$3)),5)</f>
        <v>115</v>
      </c>
      <c r="I25" s="65"/>
      <c r="J25" s="65">
        <f>H25+I25</f>
        <v>115</v>
      </c>
      <c r="K25" s="187">
        <f>J25-F25</f>
        <v>5</v>
      </c>
      <c r="L25" s="141">
        <f>IF(F25="","NEW",K25/F25)</f>
        <v>4.5454545454545456E-2</v>
      </c>
    </row>
    <row r="26" spans="1:12" s="177" customFormat="1" ht="15.65" customHeight="1" x14ac:dyDescent="0.35">
      <c r="A26" s="185"/>
      <c r="B26" s="186"/>
      <c r="C26" s="184"/>
      <c r="D26" s="65"/>
      <c r="E26" s="65"/>
      <c r="F26" s="65"/>
      <c r="G26" s="65"/>
      <c r="H26" s="65"/>
      <c r="I26" s="65"/>
      <c r="J26" s="65"/>
      <c r="K26" s="187"/>
      <c r="L26" s="141"/>
    </row>
    <row r="27" spans="1:12" s="177" customFormat="1" ht="15.65" customHeight="1" x14ac:dyDescent="0.35">
      <c r="A27" s="185">
        <f>A25+1</f>
        <v>18</v>
      </c>
      <c r="B27" s="186" t="s">
        <v>848</v>
      </c>
      <c r="C27" s="184" t="s">
        <v>191</v>
      </c>
      <c r="D27" s="65">
        <v>1035</v>
      </c>
      <c r="E27" s="65"/>
      <c r="F27" s="65">
        <f>D27+E27</f>
        <v>1035</v>
      </c>
      <c r="G27" s="65"/>
      <c r="H27" s="65">
        <f>MROUND((D27*(1+Sheet1!$C$3)),5)</f>
        <v>1065</v>
      </c>
      <c r="I27" s="65"/>
      <c r="J27" s="65">
        <f>H27+I27</f>
        <v>1065</v>
      </c>
      <c r="K27" s="187">
        <f>J27-F27</f>
        <v>30</v>
      </c>
      <c r="L27" s="141">
        <f>IF(F27="","NEW",K27/F27)</f>
        <v>2.8985507246376812E-2</v>
      </c>
    </row>
    <row r="28" spans="1:12" s="177" customFormat="1" ht="15.65" customHeight="1" x14ac:dyDescent="0.35">
      <c r="A28" s="185">
        <f>+A27+1</f>
        <v>19</v>
      </c>
      <c r="B28" s="186" t="s">
        <v>849</v>
      </c>
      <c r="C28" s="184" t="s">
        <v>191</v>
      </c>
      <c r="D28" s="65">
        <v>1035</v>
      </c>
      <c r="E28" s="65"/>
      <c r="F28" s="65">
        <f>D28+E28</f>
        <v>1035</v>
      </c>
      <c r="G28" s="65"/>
      <c r="H28" s="65">
        <f>MROUND((D28*(1+Sheet1!$C$3)),5)</f>
        <v>1065</v>
      </c>
      <c r="I28" s="65"/>
      <c r="J28" s="65">
        <f>H28+I28</f>
        <v>1065</v>
      </c>
      <c r="K28" s="187">
        <f>J28-F28</f>
        <v>30</v>
      </c>
      <c r="L28" s="141">
        <f>IF(F28="","NEW",K28/F28)</f>
        <v>2.8985507246376812E-2</v>
      </c>
    </row>
    <row r="29" spans="1:12" s="177" customFormat="1" x14ac:dyDescent="0.35">
      <c r="A29" s="185"/>
      <c r="B29" s="186"/>
      <c r="C29" s="184"/>
      <c r="D29" s="65"/>
      <c r="E29" s="65"/>
      <c r="F29" s="65"/>
      <c r="G29" s="65"/>
      <c r="H29" s="65"/>
      <c r="I29" s="65"/>
      <c r="J29" s="65"/>
      <c r="K29" s="187"/>
      <c r="L29" s="141"/>
    </row>
    <row r="30" spans="1:12" s="177" customFormat="1" x14ac:dyDescent="0.35">
      <c r="A30" s="185">
        <f>+A28+1</f>
        <v>20</v>
      </c>
      <c r="B30" s="186" t="s">
        <v>850</v>
      </c>
      <c r="C30" s="184" t="s">
        <v>191</v>
      </c>
      <c r="D30" s="593" t="s">
        <v>1503</v>
      </c>
      <c r="E30" s="594"/>
      <c r="F30" s="594"/>
      <c r="G30" s="594"/>
      <c r="H30" s="594"/>
      <c r="I30" s="594"/>
      <c r="J30" s="595"/>
      <c r="K30" s="187"/>
      <c r="L30" s="141"/>
    </row>
    <row r="31" spans="1:12" s="177" customFormat="1" x14ac:dyDescent="0.35">
      <c r="A31" s="188"/>
      <c r="B31" s="186"/>
      <c r="C31" s="184"/>
      <c r="D31" s="164"/>
      <c r="E31" s="164"/>
      <c r="F31" s="164"/>
      <c r="G31" s="189"/>
      <c r="H31" s="164"/>
      <c r="I31" s="164"/>
      <c r="J31" s="164"/>
      <c r="K31" s="187"/>
      <c r="L31" s="141"/>
    </row>
    <row r="32" spans="1:12" s="177" customFormat="1" x14ac:dyDescent="0.35">
      <c r="A32" s="185">
        <f>+A30+1</f>
        <v>21</v>
      </c>
      <c r="B32" s="190" t="s">
        <v>851</v>
      </c>
      <c r="C32" s="184" t="s">
        <v>574</v>
      </c>
      <c r="D32" s="189">
        <v>35</v>
      </c>
      <c r="E32" s="189"/>
      <c r="F32" s="189">
        <f>D32+E32</f>
        <v>35</v>
      </c>
      <c r="G32" s="189"/>
      <c r="H32" s="65">
        <f>MROUND((D32*(1+Sheet1!$C$3)),0.1)</f>
        <v>36</v>
      </c>
      <c r="I32" s="189"/>
      <c r="J32" s="65">
        <f>H32+I32</f>
        <v>36</v>
      </c>
      <c r="K32" s="187">
        <f>J32-F32</f>
        <v>1</v>
      </c>
      <c r="L32" s="141">
        <f>IF(F32="","NEW",K32/F32)</f>
        <v>2.8571428571428571E-2</v>
      </c>
    </row>
    <row r="33" spans="1:12" s="177" customFormat="1" x14ac:dyDescent="0.35">
      <c r="A33" s="188"/>
      <c r="B33" s="190"/>
      <c r="C33" s="184"/>
      <c r="D33" s="189"/>
      <c r="E33" s="189"/>
      <c r="F33" s="189"/>
      <c r="G33" s="189"/>
      <c r="H33" s="189"/>
      <c r="I33" s="189"/>
      <c r="J33" s="65"/>
      <c r="K33" s="191"/>
      <c r="L33" s="141"/>
    </row>
    <row r="34" spans="1:12" s="177" customFormat="1" ht="46.5" x14ac:dyDescent="0.35">
      <c r="A34" s="185">
        <f>+A32+1</f>
        <v>22</v>
      </c>
      <c r="B34" s="190" t="s">
        <v>852</v>
      </c>
      <c r="C34" s="184" t="s">
        <v>19</v>
      </c>
      <c r="D34" s="65" t="s">
        <v>853</v>
      </c>
      <c r="E34" s="189"/>
      <c r="F34" s="65" t="s">
        <v>853</v>
      </c>
      <c r="G34" s="189"/>
      <c r="H34" s="65" t="s">
        <v>853</v>
      </c>
      <c r="I34" s="65"/>
      <c r="J34" s="65" t="str">
        <f>H34</f>
        <v>Up to £5,000</v>
      </c>
      <c r="K34" s="191"/>
      <c r="L34" s="141"/>
    </row>
    <row r="35" spans="1:12" ht="46.5" x14ac:dyDescent="0.35">
      <c r="A35" s="185">
        <f>A34+1</f>
        <v>23</v>
      </c>
      <c r="B35" s="190" t="s">
        <v>854</v>
      </c>
      <c r="C35" s="184" t="s">
        <v>19</v>
      </c>
      <c r="D35" s="65" t="s">
        <v>853</v>
      </c>
      <c r="E35" s="189"/>
      <c r="F35" s="65" t="s">
        <v>853</v>
      </c>
      <c r="G35" s="189"/>
      <c r="H35" s="65" t="s">
        <v>853</v>
      </c>
      <c r="I35" s="65"/>
      <c r="J35" s="65" t="str">
        <f>H35</f>
        <v>Up to £5,000</v>
      </c>
      <c r="K35" s="191"/>
      <c r="L35" s="141"/>
    </row>
    <row r="36" spans="1:12" x14ac:dyDescent="0.35">
      <c r="A36" s="192"/>
      <c r="B36" s="190"/>
      <c r="C36" s="184"/>
      <c r="D36" s="193"/>
      <c r="E36" s="194"/>
      <c r="F36" s="195"/>
      <c r="G36" s="194"/>
      <c r="H36" s="193"/>
      <c r="I36" s="194"/>
      <c r="J36" s="195"/>
      <c r="K36" s="191"/>
      <c r="L36" s="141"/>
    </row>
    <row r="37" spans="1:12" x14ac:dyDescent="0.35">
      <c r="A37" s="185">
        <f>+A35+1</f>
        <v>24</v>
      </c>
      <c r="B37" s="190" t="s">
        <v>855</v>
      </c>
      <c r="C37" s="184" t="s">
        <v>19</v>
      </c>
      <c r="D37" s="593" t="s">
        <v>856</v>
      </c>
      <c r="E37" s="594"/>
      <c r="F37" s="594"/>
      <c r="G37" s="594"/>
      <c r="H37" s="594"/>
      <c r="I37" s="594"/>
      <c r="J37" s="595"/>
      <c r="K37" s="191"/>
      <c r="L37" s="141"/>
    </row>
    <row r="38" spans="1:12" s="199" customFormat="1" x14ac:dyDescent="0.35">
      <c r="A38" s="196"/>
      <c r="B38" s="197"/>
      <c r="C38" s="198"/>
      <c r="D38" s="196"/>
      <c r="E38" s="196"/>
      <c r="K38" s="49"/>
      <c r="L38" s="50"/>
    </row>
    <row r="39" spans="1:12" s="199" customFormat="1" x14ac:dyDescent="0.35">
      <c r="A39" s="196"/>
      <c r="B39" s="197"/>
      <c r="C39" s="198"/>
      <c r="D39" s="196"/>
      <c r="E39" s="196"/>
      <c r="K39" s="49"/>
      <c r="L39" s="50"/>
    </row>
    <row r="40" spans="1:12" s="199" customFormat="1" x14ac:dyDescent="0.35">
      <c r="A40" s="196"/>
      <c r="B40" s="197"/>
      <c r="C40" s="198"/>
      <c r="D40" s="196"/>
      <c r="E40" s="196"/>
      <c r="K40" s="49"/>
      <c r="L40" s="50"/>
    </row>
    <row r="41" spans="1:12" s="199" customFormat="1" x14ac:dyDescent="0.35">
      <c r="A41" s="196"/>
      <c r="B41" s="197"/>
      <c r="C41" s="198"/>
      <c r="D41" s="196"/>
      <c r="E41" s="196"/>
      <c r="K41" s="49"/>
      <c r="L41" s="50"/>
    </row>
    <row r="42" spans="1:12" s="199" customFormat="1" x14ac:dyDescent="0.35">
      <c r="A42" s="196"/>
      <c r="B42" s="197"/>
      <c r="C42" s="198"/>
      <c r="D42" s="196"/>
      <c r="E42" s="196"/>
      <c r="K42" s="49"/>
      <c r="L42" s="50"/>
    </row>
    <row r="43" spans="1:12" s="199" customFormat="1" x14ac:dyDescent="0.35">
      <c r="A43" s="196"/>
      <c r="B43" s="197"/>
      <c r="C43" s="198"/>
      <c r="D43" s="196"/>
      <c r="E43" s="196"/>
      <c r="K43" s="49"/>
      <c r="L43" s="50"/>
    </row>
    <row r="44" spans="1:12" s="199" customFormat="1" x14ac:dyDescent="0.35">
      <c r="A44" s="196"/>
      <c r="B44" s="197"/>
      <c r="C44" s="198"/>
      <c r="D44" s="196"/>
      <c r="E44" s="196"/>
      <c r="K44" s="49"/>
      <c r="L44" s="50"/>
    </row>
    <row r="45" spans="1:12" s="199" customFormat="1" x14ac:dyDescent="0.35">
      <c r="A45" s="196"/>
      <c r="B45" s="197"/>
      <c r="C45" s="198"/>
      <c r="D45" s="196"/>
      <c r="E45" s="196"/>
      <c r="K45" s="49"/>
      <c r="L45" s="50"/>
    </row>
    <row r="46" spans="1:12" s="199" customFormat="1" x14ac:dyDescent="0.35">
      <c r="A46" s="196"/>
      <c r="B46" s="197"/>
      <c r="C46" s="198"/>
      <c r="D46" s="196"/>
      <c r="E46" s="196"/>
      <c r="K46" s="49"/>
      <c r="L46" s="50"/>
    </row>
    <row r="47" spans="1:12" s="199" customFormat="1" x14ac:dyDescent="0.35">
      <c r="A47" s="196"/>
      <c r="B47" s="197"/>
      <c r="C47" s="198"/>
      <c r="D47" s="196"/>
      <c r="E47" s="196"/>
      <c r="K47" s="49"/>
      <c r="L47" s="50"/>
    </row>
    <row r="48" spans="1:12" s="199" customFormat="1" x14ac:dyDescent="0.35">
      <c r="A48" s="196"/>
      <c r="B48" s="197"/>
      <c r="C48" s="198"/>
      <c r="D48" s="196"/>
      <c r="E48" s="196"/>
      <c r="K48" s="49"/>
      <c r="L48" s="50"/>
    </row>
    <row r="49" spans="1:12" s="197" customFormat="1" x14ac:dyDescent="0.35">
      <c r="A49" s="196"/>
      <c r="C49" s="198"/>
      <c r="D49" s="196"/>
      <c r="E49" s="196"/>
      <c r="F49" s="199"/>
      <c r="G49" s="199"/>
      <c r="H49" s="199"/>
      <c r="I49" s="199"/>
      <c r="J49" s="199"/>
      <c r="K49" s="49"/>
      <c r="L49" s="50"/>
    </row>
    <row r="50" spans="1:12" s="197" customFormat="1" x14ac:dyDescent="0.35">
      <c r="A50" s="196"/>
      <c r="C50" s="198"/>
      <c r="D50" s="196"/>
      <c r="E50" s="196"/>
      <c r="F50" s="199"/>
      <c r="G50" s="199"/>
      <c r="H50" s="199"/>
      <c r="I50" s="199"/>
      <c r="J50" s="199"/>
      <c r="K50" s="49"/>
      <c r="L50" s="50"/>
    </row>
    <row r="51" spans="1:12" s="197" customFormat="1" x14ac:dyDescent="0.35">
      <c r="A51" s="196"/>
      <c r="C51" s="198"/>
      <c r="D51" s="196"/>
      <c r="E51" s="196"/>
      <c r="F51" s="199"/>
      <c r="G51" s="199"/>
      <c r="H51" s="199"/>
      <c r="I51" s="199"/>
      <c r="J51" s="199"/>
      <c r="K51" s="49"/>
      <c r="L51" s="50"/>
    </row>
    <row r="52" spans="1:12" s="197" customFormat="1" x14ac:dyDescent="0.35">
      <c r="A52" s="196"/>
      <c r="C52" s="198"/>
      <c r="D52" s="196"/>
      <c r="E52" s="196"/>
      <c r="F52" s="199"/>
      <c r="G52" s="199"/>
      <c r="H52" s="199"/>
      <c r="I52" s="199"/>
      <c r="J52" s="199"/>
      <c r="K52" s="49"/>
      <c r="L52" s="50"/>
    </row>
    <row r="53" spans="1:12" s="197" customFormat="1" x14ac:dyDescent="0.35">
      <c r="A53" s="196"/>
      <c r="C53" s="198"/>
      <c r="D53" s="196"/>
      <c r="E53" s="196"/>
      <c r="F53" s="199"/>
      <c r="G53" s="199"/>
      <c r="H53" s="199"/>
      <c r="I53" s="199"/>
      <c r="J53" s="199"/>
      <c r="K53" s="49"/>
      <c r="L53" s="50"/>
    </row>
    <row r="54" spans="1:12" s="197" customFormat="1" x14ac:dyDescent="0.35">
      <c r="A54" s="196"/>
      <c r="C54" s="198"/>
      <c r="D54" s="196"/>
      <c r="E54" s="196"/>
      <c r="F54" s="199"/>
      <c r="G54" s="199"/>
      <c r="H54" s="199"/>
      <c r="I54" s="199"/>
      <c r="J54" s="199"/>
      <c r="K54" s="49"/>
      <c r="L54" s="50"/>
    </row>
    <row r="55" spans="1:12" s="197" customFormat="1" x14ac:dyDescent="0.35">
      <c r="A55" s="196"/>
      <c r="C55" s="198"/>
      <c r="D55" s="196"/>
      <c r="E55" s="196"/>
      <c r="F55" s="199"/>
      <c r="G55" s="199"/>
      <c r="H55" s="199"/>
      <c r="I55" s="199"/>
      <c r="J55" s="199"/>
      <c r="K55" s="49"/>
      <c r="L55" s="50"/>
    </row>
    <row r="56" spans="1:12" s="197" customFormat="1" x14ac:dyDescent="0.35">
      <c r="A56" s="196"/>
      <c r="C56" s="198"/>
      <c r="D56" s="196"/>
      <c r="E56" s="196"/>
      <c r="F56" s="199"/>
      <c r="G56" s="199"/>
      <c r="H56" s="199"/>
      <c r="I56" s="199"/>
      <c r="J56" s="199"/>
      <c r="K56" s="49"/>
      <c r="L56" s="50"/>
    </row>
    <row r="57" spans="1:12" s="197" customFormat="1" x14ac:dyDescent="0.35">
      <c r="A57" s="196"/>
      <c r="C57" s="198"/>
      <c r="D57" s="196"/>
      <c r="E57" s="196"/>
      <c r="F57" s="199"/>
      <c r="G57" s="199"/>
      <c r="H57" s="199"/>
      <c r="I57" s="199"/>
      <c r="J57" s="199"/>
      <c r="K57" s="49"/>
      <c r="L57" s="50"/>
    </row>
    <row r="58" spans="1:12" s="197" customFormat="1" x14ac:dyDescent="0.35">
      <c r="A58" s="196"/>
      <c r="C58" s="198"/>
      <c r="D58" s="196"/>
      <c r="E58" s="196"/>
      <c r="F58" s="199"/>
      <c r="G58" s="199"/>
      <c r="H58" s="199"/>
      <c r="I58" s="199"/>
      <c r="J58" s="199"/>
      <c r="K58" s="49"/>
      <c r="L58" s="50"/>
    </row>
    <row r="59" spans="1:12" s="197" customFormat="1" x14ac:dyDescent="0.35">
      <c r="A59" s="196"/>
      <c r="C59" s="198"/>
      <c r="D59" s="196"/>
      <c r="E59" s="196"/>
      <c r="F59" s="199"/>
      <c r="G59" s="199"/>
      <c r="H59" s="199"/>
      <c r="I59" s="199"/>
      <c r="J59" s="199"/>
      <c r="K59" s="49"/>
      <c r="L59" s="50"/>
    </row>
    <row r="60" spans="1:12" s="197" customFormat="1" x14ac:dyDescent="0.35">
      <c r="A60" s="196"/>
      <c r="C60" s="198"/>
      <c r="D60" s="196"/>
      <c r="E60" s="196"/>
      <c r="F60" s="199"/>
      <c r="G60" s="199"/>
      <c r="H60" s="199"/>
      <c r="I60" s="199"/>
      <c r="J60" s="199"/>
      <c r="K60" s="49"/>
      <c r="L60" s="50"/>
    </row>
    <row r="61" spans="1:12" s="197" customFormat="1" x14ac:dyDescent="0.35">
      <c r="A61" s="196"/>
      <c r="C61" s="198"/>
      <c r="D61" s="196"/>
      <c r="E61" s="196"/>
      <c r="F61" s="199"/>
      <c r="G61" s="199"/>
      <c r="H61" s="199"/>
      <c r="I61" s="199"/>
      <c r="J61" s="199"/>
      <c r="K61" s="49"/>
      <c r="L61" s="50"/>
    </row>
    <row r="62" spans="1:12" s="197" customFormat="1" x14ac:dyDescent="0.35">
      <c r="A62" s="196"/>
      <c r="C62" s="198"/>
      <c r="D62" s="196"/>
      <c r="E62" s="196"/>
      <c r="F62" s="199"/>
      <c r="G62" s="199"/>
      <c r="H62" s="199"/>
      <c r="I62" s="199"/>
      <c r="J62" s="199"/>
      <c r="K62" s="49"/>
      <c r="L62" s="50"/>
    </row>
    <row r="63" spans="1:12" s="197" customFormat="1" x14ac:dyDescent="0.35">
      <c r="A63" s="196"/>
      <c r="C63" s="198"/>
      <c r="D63" s="196"/>
      <c r="E63" s="196"/>
      <c r="F63" s="199"/>
      <c r="G63" s="199"/>
      <c r="H63" s="199"/>
      <c r="I63" s="199"/>
      <c r="J63" s="199"/>
      <c r="K63" s="49"/>
      <c r="L63" s="50"/>
    </row>
    <row r="64" spans="1:12" s="197" customFormat="1" x14ac:dyDescent="0.35">
      <c r="A64" s="196"/>
      <c r="C64" s="198"/>
      <c r="D64" s="196"/>
      <c r="E64" s="196"/>
      <c r="F64" s="199"/>
      <c r="G64" s="199"/>
      <c r="H64" s="199"/>
      <c r="I64" s="199"/>
      <c r="J64" s="199"/>
      <c r="K64" s="49"/>
      <c r="L64" s="50"/>
    </row>
    <row r="65" spans="1:12" s="197" customFormat="1" x14ac:dyDescent="0.35">
      <c r="A65" s="196"/>
      <c r="C65" s="198"/>
      <c r="D65" s="196"/>
      <c r="E65" s="196"/>
      <c r="F65" s="199"/>
      <c r="G65" s="199"/>
      <c r="H65" s="199"/>
      <c r="I65" s="199"/>
      <c r="J65" s="199"/>
      <c r="K65" s="49"/>
      <c r="L65" s="50"/>
    </row>
    <row r="66" spans="1:12" s="197" customFormat="1" x14ac:dyDescent="0.35">
      <c r="A66" s="196"/>
      <c r="C66" s="198"/>
      <c r="D66" s="196"/>
      <c r="E66" s="196"/>
      <c r="F66" s="199"/>
      <c r="G66" s="199"/>
      <c r="H66" s="199"/>
      <c r="I66" s="199"/>
      <c r="J66" s="199"/>
      <c r="K66" s="49"/>
      <c r="L66" s="50"/>
    </row>
    <row r="67" spans="1:12" s="197" customFormat="1" x14ac:dyDescent="0.35">
      <c r="A67" s="196"/>
      <c r="C67" s="198"/>
      <c r="D67" s="196"/>
      <c r="E67" s="196"/>
      <c r="F67" s="199"/>
      <c r="G67" s="199"/>
      <c r="H67" s="199"/>
      <c r="I67" s="199"/>
      <c r="J67" s="199"/>
      <c r="K67" s="49"/>
      <c r="L67" s="50"/>
    </row>
    <row r="68" spans="1:12" s="197" customFormat="1" x14ac:dyDescent="0.35">
      <c r="A68" s="196"/>
      <c r="C68" s="198"/>
      <c r="D68" s="196"/>
      <c r="E68" s="196"/>
      <c r="F68" s="199"/>
      <c r="G68" s="199"/>
      <c r="H68" s="199"/>
      <c r="I68" s="199"/>
      <c r="J68" s="199"/>
      <c r="K68" s="49"/>
      <c r="L68" s="50"/>
    </row>
    <row r="69" spans="1:12" s="197" customFormat="1" x14ac:dyDescent="0.35">
      <c r="A69" s="196"/>
      <c r="C69" s="198"/>
      <c r="D69" s="196"/>
      <c r="E69" s="196"/>
      <c r="F69" s="199"/>
      <c r="G69" s="199"/>
      <c r="H69" s="199"/>
      <c r="I69" s="199"/>
      <c r="J69" s="199"/>
      <c r="K69" s="49"/>
      <c r="L69" s="50"/>
    </row>
    <row r="70" spans="1:12" s="197" customFormat="1" x14ac:dyDescent="0.35">
      <c r="A70" s="196"/>
      <c r="C70" s="198"/>
      <c r="D70" s="196"/>
      <c r="E70" s="196"/>
      <c r="F70" s="199"/>
      <c r="G70" s="199"/>
      <c r="H70" s="199"/>
      <c r="I70" s="199"/>
      <c r="J70" s="199"/>
      <c r="K70" s="49"/>
      <c r="L70" s="50"/>
    </row>
    <row r="71" spans="1:12" s="197" customFormat="1" x14ac:dyDescent="0.35">
      <c r="A71" s="196"/>
      <c r="C71" s="198"/>
      <c r="D71" s="196"/>
      <c r="E71" s="196"/>
      <c r="F71" s="199"/>
      <c r="G71" s="199"/>
      <c r="H71" s="199"/>
      <c r="I71" s="199"/>
      <c r="J71" s="199"/>
      <c r="K71" s="49"/>
      <c r="L71" s="50"/>
    </row>
    <row r="72" spans="1:12" s="197" customFormat="1" x14ac:dyDescent="0.35">
      <c r="A72" s="196"/>
      <c r="C72" s="198"/>
      <c r="D72" s="196"/>
      <c r="E72" s="196"/>
      <c r="F72" s="199"/>
      <c r="G72" s="199"/>
      <c r="H72" s="199"/>
      <c r="I72" s="199"/>
      <c r="J72" s="199"/>
      <c r="K72" s="49"/>
      <c r="L72" s="50"/>
    </row>
    <row r="73" spans="1:12" s="197" customFormat="1" x14ac:dyDescent="0.35">
      <c r="A73" s="196"/>
      <c r="C73" s="198"/>
      <c r="D73" s="196"/>
      <c r="E73" s="196"/>
      <c r="F73" s="199"/>
      <c r="G73" s="199"/>
      <c r="H73" s="199"/>
      <c r="I73" s="199"/>
      <c r="J73" s="199"/>
      <c r="K73" s="49"/>
      <c r="L73" s="50"/>
    </row>
    <row r="74" spans="1:12" s="197" customFormat="1" x14ac:dyDescent="0.35">
      <c r="A74" s="196"/>
      <c r="C74" s="198"/>
      <c r="D74" s="196"/>
      <c r="E74" s="196"/>
      <c r="F74" s="199"/>
      <c r="G74" s="199"/>
      <c r="H74" s="199"/>
      <c r="I74" s="199"/>
      <c r="J74" s="199"/>
      <c r="K74" s="49"/>
      <c r="L74" s="50"/>
    </row>
    <row r="75" spans="1:12" s="197" customFormat="1" x14ac:dyDescent="0.35">
      <c r="A75" s="196"/>
      <c r="C75" s="198"/>
      <c r="D75" s="196"/>
      <c r="E75" s="196"/>
      <c r="F75" s="199"/>
      <c r="G75" s="199"/>
      <c r="H75" s="199"/>
      <c r="I75" s="199"/>
      <c r="J75" s="199"/>
      <c r="K75" s="49"/>
      <c r="L75" s="50"/>
    </row>
    <row r="76" spans="1:12" s="197" customFormat="1" x14ac:dyDescent="0.35">
      <c r="A76" s="196"/>
      <c r="C76" s="198"/>
      <c r="D76" s="196"/>
      <c r="E76" s="196"/>
      <c r="F76" s="199"/>
      <c r="G76" s="199"/>
      <c r="H76" s="199"/>
      <c r="I76" s="199"/>
      <c r="J76" s="199"/>
      <c r="K76" s="49"/>
      <c r="L76" s="50"/>
    </row>
    <row r="77" spans="1:12" s="197" customFormat="1" x14ac:dyDescent="0.35">
      <c r="A77" s="196"/>
      <c r="C77" s="198"/>
      <c r="D77" s="196"/>
      <c r="E77" s="196"/>
      <c r="F77" s="199"/>
      <c r="G77" s="199"/>
      <c r="H77" s="199"/>
      <c r="I77" s="199"/>
      <c r="J77" s="199"/>
      <c r="K77" s="49"/>
      <c r="L77" s="50"/>
    </row>
    <row r="78" spans="1:12" s="197" customFormat="1" x14ac:dyDescent="0.35">
      <c r="A78" s="196"/>
      <c r="C78" s="198"/>
      <c r="D78" s="196"/>
      <c r="E78" s="196"/>
      <c r="F78" s="199"/>
      <c r="G78" s="199"/>
      <c r="H78" s="199"/>
      <c r="I78" s="199"/>
      <c r="J78" s="199"/>
      <c r="K78" s="49"/>
      <c r="L78" s="50"/>
    </row>
    <row r="79" spans="1:12" s="197" customFormat="1" x14ac:dyDescent="0.35">
      <c r="A79" s="196"/>
      <c r="C79" s="198"/>
      <c r="D79" s="196"/>
      <c r="E79" s="196"/>
      <c r="F79" s="199"/>
      <c r="G79" s="199"/>
      <c r="H79" s="199"/>
      <c r="I79" s="199"/>
      <c r="J79" s="199"/>
      <c r="K79" s="49"/>
      <c r="L79" s="50"/>
    </row>
    <row r="80" spans="1:12" s="197" customFormat="1" x14ac:dyDescent="0.35">
      <c r="A80" s="196"/>
      <c r="C80" s="198"/>
      <c r="D80" s="196"/>
      <c r="E80" s="196"/>
      <c r="F80" s="199"/>
      <c r="G80" s="199"/>
      <c r="H80" s="199"/>
      <c r="I80" s="199"/>
      <c r="J80" s="199"/>
      <c r="K80" s="49"/>
      <c r="L80" s="50"/>
    </row>
    <row r="81" spans="1:12" s="197" customFormat="1" x14ac:dyDescent="0.35">
      <c r="A81" s="196"/>
      <c r="C81" s="198"/>
      <c r="D81" s="196"/>
      <c r="E81" s="196"/>
      <c r="F81" s="199"/>
      <c r="G81" s="199"/>
      <c r="H81" s="199"/>
      <c r="I81" s="199"/>
      <c r="J81" s="199"/>
      <c r="K81" s="49"/>
      <c r="L81" s="50"/>
    </row>
  </sheetData>
  <mergeCells count="5">
    <mergeCell ref="A1:B1"/>
    <mergeCell ref="K1:L1"/>
    <mergeCell ref="D30:J30"/>
    <mergeCell ref="D37:J37"/>
    <mergeCell ref="B8:L8"/>
  </mergeCells>
  <conditionalFormatting sqref="L5:L7 L9:L32">
    <cfRule type="cellIs" dxfId="14" priority="17" operator="equal">
      <formula>"NEW"</formula>
    </cfRule>
  </conditionalFormatting>
  <dataValidations count="1">
    <dataValidation type="list" allowBlank="1" showInputMessage="1" showErrorMessage="1" sqref="C4:C7 C9:C37" xr:uid="{10B20385-0B27-4A13-9300-9BBE9F8E198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8"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22E7-FAB8-4A49-A04B-F25E8AD1BC9B}">
  <dimension ref="A1:I155"/>
  <sheetViews>
    <sheetView zoomScaleNormal="100" zoomScaleSheetLayoutView="90" workbookViewId="0"/>
  </sheetViews>
  <sheetFormatPr defaultColWidth="9.1796875" defaultRowHeight="12.5" x14ac:dyDescent="0.25"/>
  <cols>
    <col min="1" max="1" width="22.54296875" style="123" customWidth="1"/>
    <col min="2" max="2" width="14.81640625" style="123" customWidth="1"/>
    <col min="3" max="4" width="11.54296875" style="123" customWidth="1"/>
    <col min="5" max="5" width="14.7265625" style="123" customWidth="1"/>
    <col min="6" max="6" width="22.54296875" style="123" customWidth="1"/>
    <col min="7" max="7" width="15.1796875" style="123" customWidth="1"/>
    <col min="8" max="8" width="15.81640625" style="123" customWidth="1"/>
    <col min="9" max="9" width="15" style="123" customWidth="1"/>
    <col min="10" max="16384" width="9.1796875" style="123"/>
  </cols>
  <sheetData>
    <row r="1" spans="1:9" ht="17.5" x14ac:dyDescent="0.25">
      <c r="A1" s="200"/>
      <c r="B1" s="200"/>
      <c r="C1" s="200"/>
      <c r="D1" s="200"/>
      <c r="E1" s="200"/>
      <c r="F1" s="200"/>
      <c r="G1" s="200"/>
      <c r="H1" s="200"/>
      <c r="I1" s="200"/>
    </row>
    <row r="2" spans="1:9" s="202" customFormat="1" ht="19.5" thickBot="1" x14ac:dyDescent="0.45">
      <c r="A2" s="201" t="s">
        <v>857</v>
      </c>
    </row>
    <row r="3" spans="1:9" ht="37" customHeight="1" thickTop="1" thickBot="1" x14ac:dyDescent="0.45">
      <c r="A3" s="603" t="s">
        <v>858</v>
      </c>
      <c r="B3" s="603"/>
      <c r="C3" s="603"/>
      <c r="D3" s="603"/>
      <c r="E3" s="603"/>
      <c r="F3" s="603"/>
      <c r="G3" s="603"/>
      <c r="H3" s="603"/>
      <c r="I3" s="603"/>
    </row>
    <row r="4" spans="1:9" ht="13" thickTop="1" x14ac:dyDescent="0.25">
      <c r="A4" s="203"/>
    </row>
    <row r="5" spans="1:9" ht="33" customHeight="1" x14ac:dyDescent="0.35">
      <c r="A5" s="604" t="s">
        <v>859</v>
      </c>
      <c r="B5" s="605"/>
      <c r="C5" s="605"/>
      <c r="D5" s="605"/>
      <c r="E5" s="605"/>
      <c r="F5" s="605"/>
      <c r="G5" s="605"/>
      <c r="H5" s="605"/>
      <c r="I5" s="605"/>
    </row>
    <row r="6" spans="1:9" x14ac:dyDescent="0.25">
      <c r="A6" s="203"/>
    </row>
    <row r="7" spans="1:9" ht="30" customHeight="1" x14ac:dyDescent="0.35">
      <c r="A7" s="604" t="s">
        <v>860</v>
      </c>
      <c r="B7" s="605"/>
      <c r="C7" s="605"/>
      <c r="D7" s="605"/>
      <c r="E7" s="605"/>
      <c r="F7" s="605"/>
      <c r="G7" s="605"/>
      <c r="H7" s="605"/>
      <c r="I7" s="605"/>
    </row>
    <row r="8" spans="1:9" x14ac:dyDescent="0.25">
      <c r="A8" s="203"/>
    </row>
    <row r="9" spans="1:9" ht="30" customHeight="1" x14ac:dyDescent="0.35">
      <c r="A9" s="604" t="s">
        <v>861</v>
      </c>
      <c r="B9" s="605"/>
      <c r="C9" s="605"/>
      <c r="D9" s="605"/>
      <c r="E9" s="605"/>
      <c r="F9" s="605"/>
      <c r="G9" s="605"/>
      <c r="H9" s="605"/>
      <c r="I9" s="605"/>
    </row>
    <row r="10" spans="1:9" ht="15.5" x14ac:dyDescent="0.25">
      <c r="A10" s="204"/>
    </row>
    <row r="11" spans="1:9" s="205" customFormat="1" ht="17" thickBot="1" x14ac:dyDescent="0.4">
      <c r="A11" s="606" t="s">
        <v>862</v>
      </c>
      <c r="B11" s="606"/>
      <c r="C11" s="606"/>
      <c r="D11" s="606"/>
      <c r="E11" s="279" t="s">
        <v>863</v>
      </c>
      <c r="F11" s="279" t="s">
        <v>864</v>
      </c>
      <c r="G11" s="279" t="s">
        <v>865</v>
      </c>
      <c r="H11" s="279" t="s">
        <v>866</v>
      </c>
      <c r="I11" s="279" t="s">
        <v>867</v>
      </c>
    </row>
    <row r="12" spans="1:9" ht="15.5" x14ac:dyDescent="0.25">
      <c r="A12" s="607" t="s">
        <v>868</v>
      </c>
      <c r="B12" s="608"/>
      <c r="C12" s="608"/>
      <c r="D12" s="608"/>
      <c r="E12" s="487">
        <v>100</v>
      </c>
      <c r="F12" s="487">
        <v>190</v>
      </c>
      <c r="G12" s="487">
        <v>315</v>
      </c>
      <c r="H12" s="487">
        <v>450</v>
      </c>
      <c r="I12" s="280">
        <v>635</v>
      </c>
    </row>
    <row r="13" spans="1:9" ht="15.5" x14ac:dyDescent="0.25">
      <c r="A13" s="607" t="s">
        <v>869</v>
      </c>
      <c r="B13" s="608"/>
      <c r="C13" s="608"/>
      <c r="D13" s="608"/>
      <c r="E13" s="487">
        <v>100</v>
      </c>
      <c r="F13" s="487">
        <v>190</v>
      </c>
      <c r="G13" s="487">
        <v>315</v>
      </c>
      <c r="H13" s="487">
        <v>450</v>
      </c>
      <c r="I13" s="280">
        <v>635</v>
      </c>
    </row>
    <row r="14" spans="1:9" ht="16" thickBot="1" x14ac:dyDescent="0.3">
      <c r="A14" s="609" t="s">
        <v>870</v>
      </c>
      <c r="B14" s="610"/>
      <c r="C14" s="610"/>
      <c r="D14" s="610"/>
      <c r="E14" s="488">
        <v>70</v>
      </c>
      <c r="F14" s="488">
        <v>180</v>
      </c>
      <c r="G14" s="488">
        <v>295</v>
      </c>
      <c r="H14" s="488">
        <v>320</v>
      </c>
      <c r="I14" s="281">
        <v>350</v>
      </c>
    </row>
    <row r="15" spans="1:9" x14ac:dyDescent="0.25">
      <c r="A15" s="207"/>
    </row>
    <row r="16" spans="1:9" x14ac:dyDescent="0.25">
      <c r="A16" s="207"/>
    </row>
    <row r="17" spans="1:9" s="205" customFormat="1" ht="17" thickBot="1" x14ac:dyDescent="0.4">
      <c r="A17" s="606" t="s">
        <v>871</v>
      </c>
      <c r="B17" s="606"/>
      <c r="C17" s="606"/>
      <c r="D17" s="606"/>
      <c r="E17" s="606"/>
      <c r="F17" s="606"/>
      <c r="G17" s="606"/>
      <c r="H17" s="606"/>
      <c r="I17" s="279" t="s">
        <v>872</v>
      </c>
    </row>
    <row r="18" spans="1:9" ht="15.5" x14ac:dyDescent="0.25">
      <c r="A18" s="607" t="s">
        <v>873</v>
      </c>
      <c r="B18" s="608"/>
      <c r="C18" s="608"/>
      <c r="D18" s="608"/>
      <c r="E18" s="608"/>
      <c r="F18" s="608"/>
      <c r="G18" s="608"/>
      <c r="H18" s="608"/>
      <c r="I18" s="280" t="s">
        <v>863</v>
      </c>
    </row>
    <row r="19" spans="1:9" ht="15.5" x14ac:dyDescent="0.25">
      <c r="A19" s="607" t="s">
        <v>874</v>
      </c>
      <c r="B19" s="608"/>
      <c r="C19" s="608"/>
      <c r="D19" s="608"/>
      <c r="E19" s="608"/>
      <c r="F19" s="608"/>
      <c r="G19" s="608"/>
      <c r="H19" s="608"/>
      <c r="I19" s="280" t="s">
        <v>864</v>
      </c>
    </row>
    <row r="20" spans="1:9" ht="15.5" x14ac:dyDescent="0.25">
      <c r="A20" s="607" t="s">
        <v>875</v>
      </c>
      <c r="B20" s="608"/>
      <c r="C20" s="608"/>
      <c r="D20" s="608"/>
      <c r="E20" s="608"/>
      <c r="F20" s="608"/>
      <c r="G20" s="608"/>
      <c r="H20" s="608"/>
      <c r="I20" s="280" t="s">
        <v>865</v>
      </c>
    </row>
    <row r="21" spans="1:9" ht="15.5" x14ac:dyDescent="0.25">
      <c r="A21" s="607" t="s">
        <v>876</v>
      </c>
      <c r="B21" s="608"/>
      <c r="C21" s="608"/>
      <c r="D21" s="608"/>
      <c r="E21" s="608"/>
      <c r="F21" s="608"/>
      <c r="G21" s="608"/>
      <c r="H21" s="608"/>
      <c r="I21" s="280" t="s">
        <v>866</v>
      </c>
    </row>
    <row r="22" spans="1:9" ht="16" thickBot="1" x14ac:dyDescent="0.3">
      <c r="A22" s="609" t="s">
        <v>877</v>
      </c>
      <c r="B22" s="610"/>
      <c r="C22" s="610"/>
      <c r="D22" s="610"/>
      <c r="E22" s="610"/>
      <c r="F22" s="610"/>
      <c r="G22" s="610"/>
      <c r="H22" s="610"/>
      <c r="I22" s="281" t="s">
        <v>867</v>
      </c>
    </row>
    <row r="23" spans="1:9" x14ac:dyDescent="0.25">
      <c r="A23" s="208"/>
    </row>
    <row r="24" spans="1:9" ht="40.5" customHeight="1" x14ac:dyDescent="0.25">
      <c r="A24" s="608" t="s">
        <v>878</v>
      </c>
      <c r="B24" s="608"/>
      <c r="C24" s="608"/>
      <c r="D24" s="608"/>
      <c r="E24" s="608"/>
      <c r="F24" s="608"/>
      <c r="G24" s="608"/>
      <c r="H24" s="608"/>
      <c r="I24" s="608"/>
    </row>
    <row r="25" spans="1:9" x14ac:dyDescent="0.25">
      <c r="A25" s="208"/>
    </row>
    <row r="26" spans="1:9" s="205" customFormat="1" ht="17" thickBot="1" x14ac:dyDescent="0.4">
      <c r="A26" s="606" t="s">
        <v>872</v>
      </c>
      <c r="B26" s="606"/>
      <c r="C26" s="606"/>
      <c r="D26" s="606"/>
      <c r="E26" s="606"/>
      <c r="F26" s="606"/>
      <c r="G26" s="279" t="s">
        <v>879</v>
      </c>
      <c r="H26" s="282"/>
      <c r="I26" s="279" t="s">
        <v>880</v>
      </c>
    </row>
    <row r="27" spans="1:9" ht="15.5" x14ac:dyDescent="0.35">
      <c r="A27" s="607" t="s">
        <v>881</v>
      </c>
      <c r="B27" s="608"/>
      <c r="C27" s="608"/>
      <c r="D27" s="608"/>
      <c r="E27" s="608"/>
      <c r="F27" s="608"/>
      <c r="G27" s="487">
        <v>900</v>
      </c>
      <c r="H27" s="126"/>
      <c r="I27" s="489">
        <v>1905</v>
      </c>
    </row>
    <row r="28" spans="1:9" ht="15.5" x14ac:dyDescent="0.35">
      <c r="A28" s="607" t="s">
        <v>882</v>
      </c>
      <c r="B28" s="608"/>
      <c r="C28" s="608"/>
      <c r="D28" s="608"/>
      <c r="E28" s="608"/>
      <c r="F28" s="608"/>
      <c r="G28" s="487">
        <v>900</v>
      </c>
      <c r="H28" s="126"/>
      <c r="I28" s="489">
        <v>1905</v>
      </c>
    </row>
    <row r="29" spans="1:9" ht="16" thickBot="1" x14ac:dyDescent="0.4">
      <c r="A29" s="609" t="s">
        <v>870</v>
      </c>
      <c r="B29" s="610"/>
      <c r="C29" s="610"/>
      <c r="D29" s="610"/>
      <c r="E29" s="610"/>
      <c r="F29" s="610"/>
      <c r="G29" s="488">
        <v>640</v>
      </c>
      <c r="H29" s="490"/>
      <c r="I29" s="491">
        <v>1050</v>
      </c>
    </row>
    <row r="30" spans="1:9" x14ac:dyDescent="0.25">
      <c r="A30" s="208"/>
    </row>
    <row r="31" spans="1:9" ht="33" customHeight="1" x14ac:dyDescent="0.25">
      <c r="A31" s="608" t="s">
        <v>883</v>
      </c>
      <c r="B31" s="608"/>
      <c r="C31" s="608"/>
      <c r="D31" s="608"/>
      <c r="E31" s="608"/>
      <c r="F31" s="608"/>
      <c r="G31" s="608"/>
      <c r="H31" s="608"/>
      <c r="I31" s="608"/>
    </row>
    <row r="32" spans="1:9" x14ac:dyDescent="0.25">
      <c r="A32" s="208"/>
    </row>
    <row r="33" spans="1:9" s="205" customFormat="1" ht="18" customHeight="1" thickBot="1" x14ac:dyDescent="0.45">
      <c r="A33" s="283" t="s">
        <v>884</v>
      </c>
      <c r="B33" s="284"/>
      <c r="C33" s="284"/>
      <c r="D33" s="284"/>
    </row>
    <row r="34" spans="1:9" ht="36.75" customHeight="1" thickTop="1" x14ac:dyDescent="0.25">
      <c r="A34" s="608" t="s">
        <v>885</v>
      </c>
      <c r="B34" s="608"/>
      <c r="C34" s="608"/>
      <c r="D34" s="608"/>
      <c r="E34" s="608"/>
      <c r="F34" s="608"/>
      <c r="G34" s="608"/>
      <c r="H34" s="608"/>
      <c r="I34" s="608"/>
    </row>
    <row r="35" spans="1:9" ht="13" x14ac:dyDescent="0.3">
      <c r="A35" s="207"/>
      <c r="E35" s="209"/>
      <c r="F35" s="209"/>
      <c r="G35" s="209"/>
    </row>
    <row r="36" spans="1:9" s="206" customFormat="1" ht="17" thickBot="1" x14ac:dyDescent="0.4">
      <c r="A36" s="606" t="s">
        <v>886</v>
      </c>
      <c r="B36" s="606"/>
      <c r="C36" s="606"/>
      <c r="D36" s="606"/>
      <c r="E36" s="611" t="s">
        <v>887</v>
      </c>
      <c r="F36" s="611"/>
      <c r="G36" s="285"/>
      <c r="H36" s="611" t="s">
        <v>888</v>
      </c>
      <c r="I36" s="611"/>
    </row>
    <row r="37" spans="1:9" ht="15.5" x14ac:dyDescent="0.35">
      <c r="A37" s="492"/>
      <c r="B37" s="608" t="s">
        <v>889</v>
      </c>
      <c r="C37" s="608"/>
      <c r="D37" s="126"/>
      <c r="E37" s="612">
        <v>1000</v>
      </c>
      <c r="F37" s="612"/>
      <c r="G37" s="126"/>
      <c r="H37" s="612">
        <v>500</v>
      </c>
      <c r="I37" s="613"/>
    </row>
    <row r="38" spans="1:9" ht="15.5" x14ac:dyDescent="0.35">
      <c r="A38" s="492"/>
      <c r="B38" s="608" t="s">
        <v>890</v>
      </c>
      <c r="C38" s="608"/>
      <c r="D38" s="126"/>
      <c r="E38" s="612">
        <v>2000</v>
      </c>
      <c r="F38" s="612"/>
      <c r="G38" s="126"/>
      <c r="H38" s="612">
        <v>1000</v>
      </c>
      <c r="I38" s="613"/>
    </row>
    <row r="39" spans="1:9" ht="15.5" x14ac:dyDescent="0.35">
      <c r="A39" s="492"/>
      <c r="B39" s="608" t="s">
        <v>891</v>
      </c>
      <c r="C39" s="608"/>
      <c r="D39" s="126"/>
      <c r="E39" s="612">
        <v>4000</v>
      </c>
      <c r="F39" s="612"/>
      <c r="G39" s="126"/>
      <c r="H39" s="612">
        <v>2000</v>
      </c>
      <c r="I39" s="613"/>
    </row>
    <row r="40" spans="1:9" ht="15.5" x14ac:dyDescent="0.35">
      <c r="A40" s="492"/>
      <c r="B40" s="608" t="s">
        <v>892</v>
      </c>
      <c r="C40" s="608"/>
      <c r="D40" s="126"/>
      <c r="E40" s="612">
        <v>8000</v>
      </c>
      <c r="F40" s="612"/>
      <c r="G40" s="126"/>
      <c r="H40" s="612">
        <v>4000</v>
      </c>
      <c r="I40" s="613"/>
    </row>
    <row r="41" spans="1:9" ht="15.5" x14ac:dyDescent="0.35">
      <c r="A41" s="492"/>
      <c r="B41" s="608" t="s">
        <v>893</v>
      </c>
      <c r="C41" s="608"/>
      <c r="D41" s="126"/>
      <c r="E41" s="612">
        <v>16000</v>
      </c>
      <c r="F41" s="612"/>
      <c r="G41" s="126"/>
      <c r="H41" s="612">
        <v>8000</v>
      </c>
      <c r="I41" s="613"/>
    </row>
    <row r="42" spans="1:9" ht="15.5" x14ac:dyDescent="0.35">
      <c r="A42" s="492"/>
      <c r="B42" s="608" t="s">
        <v>894</v>
      </c>
      <c r="C42" s="608"/>
      <c r="D42" s="126"/>
      <c r="E42" s="612">
        <v>24000</v>
      </c>
      <c r="F42" s="612"/>
      <c r="G42" s="126"/>
      <c r="H42" s="612">
        <v>12000</v>
      </c>
      <c r="I42" s="613"/>
    </row>
    <row r="43" spans="1:9" ht="15.5" x14ac:dyDescent="0.35">
      <c r="A43" s="492"/>
      <c r="B43" s="608" t="s">
        <v>895</v>
      </c>
      <c r="C43" s="608"/>
      <c r="D43" s="126"/>
      <c r="E43" s="612">
        <v>32000</v>
      </c>
      <c r="F43" s="612"/>
      <c r="G43" s="126"/>
      <c r="H43" s="612">
        <v>16000</v>
      </c>
      <c r="I43" s="613"/>
    </row>
    <row r="44" spans="1:9" ht="15.5" x14ac:dyDescent="0.35">
      <c r="A44" s="492"/>
      <c r="B44" s="608" t="s">
        <v>896</v>
      </c>
      <c r="C44" s="608"/>
      <c r="D44" s="126"/>
      <c r="E44" s="612">
        <v>40000</v>
      </c>
      <c r="F44" s="612"/>
      <c r="G44" s="126"/>
      <c r="H44" s="612">
        <v>20000</v>
      </c>
      <c r="I44" s="613"/>
    </row>
    <row r="45" spans="1:9" ht="15.5" x14ac:dyDescent="0.35">
      <c r="A45" s="492"/>
      <c r="B45" s="608" t="s">
        <v>897</v>
      </c>
      <c r="C45" s="608"/>
      <c r="D45" s="126"/>
      <c r="E45" s="612">
        <v>48000</v>
      </c>
      <c r="F45" s="612"/>
      <c r="G45" s="126"/>
      <c r="H45" s="612">
        <v>24000</v>
      </c>
      <c r="I45" s="613"/>
    </row>
    <row r="46" spans="1:9" ht="15.5" x14ac:dyDescent="0.35">
      <c r="A46" s="492"/>
      <c r="B46" s="608" t="s">
        <v>898</v>
      </c>
      <c r="C46" s="608"/>
      <c r="D46" s="126"/>
      <c r="E46" s="612">
        <v>56000</v>
      </c>
      <c r="F46" s="612"/>
      <c r="G46" s="126"/>
      <c r="H46" s="612">
        <v>28000</v>
      </c>
      <c r="I46" s="613"/>
    </row>
    <row r="47" spans="1:9" ht="16" thickBot="1" x14ac:dyDescent="0.4">
      <c r="A47" s="495"/>
      <c r="B47" s="610" t="s">
        <v>899</v>
      </c>
      <c r="C47" s="610"/>
      <c r="D47" s="490"/>
      <c r="E47" s="614">
        <v>64000</v>
      </c>
      <c r="F47" s="614"/>
      <c r="G47" s="490"/>
      <c r="H47" s="614">
        <v>32000</v>
      </c>
      <c r="I47" s="615"/>
    </row>
    <row r="48" spans="1:9" ht="15.5" x14ac:dyDescent="0.25">
      <c r="A48" s="204"/>
    </row>
    <row r="49" spans="1:9" s="205" customFormat="1" ht="18.5" thickBot="1" x14ac:dyDescent="0.45">
      <c r="A49" s="283" t="s">
        <v>900</v>
      </c>
      <c r="B49" s="284"/>
    </row>
    <row r="50" spans="1:9" ht="13" thickTop="1" x14ac:dyDescent="0.25">
      <c r="A50" s="208"/>
    </row>
    <row r="51" spans="1:9" s="126" customFormat="1" ht="35.25" customHeight="1" x14ac:dyDescent="0.35">
      <c r="A51" s="608" t="s">
        <v>901</v>
      </c>
      <c r="B51" s="608"/>
      <c r="C51" s="608"/>
      <c r="D51" s="608"/>
      <c r="E51" s="608"/>
      <c r="F51" s="608"/>
      <c r="G51" s="608"/>
      <c r="H51" s="608"/>
      <c r="I51" s="608"/>
    </row>
    <row r="52" spans="1:9" s="126" customFormat="1" ht="15.5" x14ac:dyDescent="0.35">
      <c r="A52" s="286"/>
    </row>
    <row r="53" spans="1:9" s="126" customFormat="1" ht="15.5" x14ac:dyDescent="0.35">
      <c r="A53" s="608" t="s">
        <v>902</v>
      </c>
      <c r="B53" s="608"/>
      <c r="C53" s="608"/>
      <c r="D53" s="608"/>
      <c r="E53" s="608"/>
      <c r="F53" s="608"/>
      <c r="G53" s="608"/>
      <c r="H53" s="608"/>
      <c r="I53" s="608"/>
    </row>
    <row r="54" spans="1:9" s="126" customFormat="1" ht="15.5" x14ac:dyDescent="0.35">
      <c r="A54" s="286"/>
    </row>
    <row r="55" spans="1:9" s="126" customFormat="1" ht="15.5" x14ac:dyDescent="0.35">
      <c r="A55" s="286" t="s">
        <v>903</v>
      </c>
      <c r="B55" s="608" t="s">
        <v>904</v>
      </c>
      <c r="C55" s="608"/>
      <c r="D55" s="608"/>
      <c r="E55" s="608"/>
      <c r="F55" s="608"/>
      <c r="G55" s="608"/>
      <c r="H55" s="608"/>
      <c r="I55" s="608"/>
    </row>
    <row r="56" spans="1:9" s="126" customFormat="1" ht="30" customHeight="1" x14ac:dyDescent="0.35">
      <c r="A56" s="286" t="s">
        <v>905</v>
      </c>
      <c r="B56" s="608" t="s">
        <v>906</v>
      </c>
      <c r="C56" s="608"/>
      <c r="D56" s="608"/>
      <c r="E56" s="608"/>
      <c r="F56" s="608"/>
      <c r="G56" s="608"/>
      <c r="H56" s="608"/>
      <c r="I56" s="608"/>
    </row>
    <row r="57" spans="1:9" x14ac:dyDescent="0.25">
      <c r="A57" s="208"/>
      <c r="B57" s="210"/>
      <c r="C57" s="210"/>
      <c r="D57" s="210"/>
      <c r="E57" s="210"/>
      <c r="F57" s="210"/>
      <c r="G57" s="210"/>
      <c r="H57" s="210"/>
      <c r="I57" s="210"/>
    </row>
    <row r="58" spans="1:9" s="205" customFormat="1" ht="18.5" thickBot="1" x14ac:dyDescent="0.45">
      <c r="A58" s="283" t="s">
        <v>907</v>
      </c>
      <c r="B58" s="284"/>
      <c r="C58" s="284"/>
      <c r="D58" s="284"/>
    </row>
    <row r="59" spans="1:9" s="206" customFormat="1" ht="17.5" thickTop="1" thickBot="1" x14ac:dyDescent="0.4">
      <c r="A59" s="287" t="s">
        <v>908</v>
      </c>
      <c r="B59" s="285"/>
      <c r="C59" s="285"/>
      <c r="D59" s="285"/>
    </row>
    <row r="60" spans="1:9" x14ac:dyDescent="0.25">
      <c r="A60" s="207"/>
    </row>
    <row r="61" spans="1:9" s="206" customFormat="1" ht="149" thickBot="1" x14ac:dyDescent="0.4">
      <c r="A61" s="616" t="s">
        <v>909</v>
      </c>
      <c r="B61" s="616"/>
      <c r="C61" s="616"/>
      <c r="D61" s="276"/>
      <c r="E61" s="276"/>
      <c r="F61" s="276" t="s">
        <v>910</v>
      </c>
      <c r="G61" s="276" t="s">
        <v>911</v>
      </c>
      <c r="H61" s="276" t="s">
        <v>912</v>
      </c>
      <c r="I61" s="276" t="s">
        <v>913</v>
      </c>
    </row>
    <row r="62" spans="1:9" ht="15.5" x14ac:dyDescent="0.25">
      <c r="A62" s="607" t="s">
        <v>914</v>
      </c>
      <c r="B62" s="608"/>
      <c r="C62" s="608"/>
      <c r="D62" s="608"/>
      <c r="E62" s="608"/>
      <c r="F62" s="496" t="s">
        <v>915</v>
      </c>
      <c r="G62" s="496" t="s">
        <v>915</v>
      </c>
      <c r="H62" s="496">
        <v>2723</v>
      </c>
      <c r="I62" s="497">
        <v>2723</v>
      </c>
    </row>
    <row r="63" spans="1:9" ht="15.5" x14ac:dyDescent="0.25">
      <c r="A63" s="607" t="s">
        <v>916</v>
      </c>
      <c r="B63" s="608"/>
      <c r="C63" s="608"/>
      <c r="D63" s="608"/>
      <c r="E63" s="608"/>
      <c r="F63" s="496">
        <v>1089</v>
      </c>
      <c r="G63" s="496">
        <v>3177</v>
      </c>
      <c r="H63" s="496">
        <v>1000</v>
      </c>
      <c r="I63" s="497">
        <v>1000</v>
      </c>
    </row>
    <row r="64" spans="1:9" ht="15.5" x14ac:dyDescent="0.25">
      <c r="A64" s="607" t="s">
        <v>917</v>
      </c>
      <c r="B64" s="608"/>
      <c r="C64" s="608"/>
      <c r="D64" s="608"/>
      <c r="E64" s="608"/>
      <c r="F64" s="496">
        <v>862</v>
      </c>
      <c r="G64" s="496">
        <v>1999</v>
      </c>
      <c r="H64" s="496">
        <v>908</v>
      </c>
      <c r="I64" s="497">
        <v>908</v>
      </c>
    </row>
    <row r="65" spans="1:9" ht="15.5" x14ac:dyDescent="0.25">
      <c r="A65" s="607" t="s">
        <v>918</v>
      </c>
      <c r="B65" s="608"/>
      <c r="C65" s="608"/>
      <c r="D65" s="608"/>
      <c r="E65" s="608"/>
      <c r="F65" s="496">
        <v>862</v>
      </c>
      <c r="G65" s="496">
        <v>2270</v>
      </c>
      <c r="H65" s="496">
        <v>908</v>
      </c>
      <c r="I65" s="497">
        <v>908</v>
      </c>
    </row>
    <row r="66" spans="1:9" ht="15.5" x14ac:dyDescent="0.25">
      <c r="A66" s="607" t="s">
        <v>919</v>
      </c>
      <c r="B66" s="608"/>
      <c r="C66" s="608"/>
      <c r="D66" s="608"/>
      <c r="E66" s="608"/>
      <c r="F66" s="496">
        <v>862</v>
      </c>
      <c r="G66" s="496">
        <v>1999</v>
      </c>
      <c r="H66" s="496">
        <v>681</v>
      </c>
      <c r="I66" s="497">
        <v>681</v>
      </c>
    </row>
    <row r="67" spans="1:9" ht="16" thickBot="1" x14ac:dyDescent="0.3">
      <c r="A67" s="609" t="s">
        <v>920</v>
      </c>
      <c r="B67" s="610"/>
      <c r="C67" s="610"/>
      <c r="D67" s="610"/>
      <c r="E67" s="610"/>
      <c r="F67" s="498">
        <v>1089</v>
      </c>
      <c r="G67" s="498">
        <v>2850</v>
      </c>
      <c r="H67" s="498">
        <v>600</v>
      </c>
      <c r="I67" s="499">
        <v>600</v>
      </c>
    </row>
    <row r="68" spans="1:9" x14ac:dyDescent="0.25">
      <c r="A68" s="211"/>
    </row>
    <row r="69" spans="1:9" x14ac:dyDescent="0.25">
      <c r="A69" s="220"/>
    </row>
    <row r="70" spans="1:9" s="206" customFormat="1" ht="66.5" thickBot="1" x14ac:dyDescent="0.4">
      <c r="A70" s="606" t="s">
        <v>909</v>
      </c>
      <c r="B70" s="606"/>
      <c r="C70" s="606"/>
      <c r="D70" s="606"/>
      <c r="E70" s="606"/>
      <c r="F70" s="288" t="s">
        <v>921</v>
      </c>
      <c r="G70" s="288" t="s">
        <v>922</v>
      </c>
      <c r="H70" s="288" t="s">
        <v>923</v>
      </c>
      <c r="I70" s="288" t="s">
        <v>924</v>
      </c>
    </row>
    <row r="71" spans="1:9" ht="15.5" x14ac:dyDescent="0.25">
      <c r="A71" s="607" t="s">
        <v>914</v>
      </c>
      <c r="B71" s="608"/>
      <c r="C71" s="608"/>
      <c r="D71" s="608"/>
      <c r="E71" s="608"/>
      <c r="F71" s="496">
        <v>2000</v>
      </c>
      <c r="G71" s="496">
        <v>1350</v>
      </c>
      <c r="H71" s="496">
        <v>1300</v>
      </c>
      <c r="I71" s="497" t="s">
        <v>915</v>
      </c>
    </row>
    <row r="72" spans="1:9" ht="15.5" x14ac:dyDescent="0.25">
      <c r="A72" s="607" t="s">
        <v>916</v>
      </c>
      <c r="B72" s="608"/>
      <c r="C72" s="608"/>
      <c r="D72" s="608"/>
      <c r="E72" s="608"/>
      <c r="F72" s="496">
        <v>1490</v>
      </c>
      <c r="G72" s="496">
        <v>1090</v>
      </c>
      <c r="H72" s="496">
        <v>1090</v>
      </c>
      <c r="I72" s="497">
        <v>3177</v>
      </c>
    </row>
    <row r="73" spans="1:9" ht="15.5" x14ac:dyDescent="0.25">
      <c r="A73" s="607" t="s">
        <v>917</v>
      </c>
      <c r="B73" s="608"/>
      <c r="C73" s="608"/>
      <c r="D73" s="608"/>
      <c r="E73" s="608"/>
      <c r="F73" s="496">
        <v>908</v>
      </c>
      <c r="G73" s="496">
        <v>1090</v>
      </c>
      <c r="H73" s="496">
        <v>1090</v>
      </c>
      <c r="I73" s="497">
        <v>1999</v>
      </c>
    </row>
    <row r="74" spans="1:9" ht="15.5" x14ac:dyDescent="0.25">
      <c r="A74" s="607" t="s">
        <v>918</v>
      </c>
      <c r="B74" s="608"/>
      <c r="C74" s="608"/>
      <c r="D74" s="608"/>
      <c r="E74" s="608"/>
      <c r="F74" s="496">
        <v>1135</v>
      </c>
      <c r="G74" s="496">
        <v>862</v>
      </c>
      <c r="H74" s="496">
        <v>862</v>
      </c>
      <c r="I74" s="497">
        <v>1900</v>
      </c>
    </row>
    <row r="75" spans="1:9" ht="15.5" x14ac:dyDescent="0.25">
      <c r="A75" s="607" t="s">
        <v>919</v>
      </c>
      <c r="B75" s="608"/>
      <c r="C75" s="608"/>
      <c r="D75" s="608"/>
      <c r="E75" s="608"/>
      <c r="F75" s="496">
        <v>908</v>
      </c>
      <c r="G75" s="496">
        <v>862</v>
      </c>
      <c r="H75" s="496">
        <v>862</v>
      </c>
      <c r="I75" s="497">
        <v>1999</v>
      </c>
    </row>
    <row r="76" spans="1:9" ht="16" thickBot="1" x14ac:dyDescent="0.3">
      <c r="A76" s="609" t="s">
        <v>920</v>
      </c>
      <c r="B76" s="610"/>
      <c r="C76" s="610"/>
      <c r="D76" s="610"/>
      <c r="E76" s="610"/>
      <c r="F76" s="498">
        <v>1362</v>
      </c>
      <c r="G76" s="498">
        <v>1090</v>
      </c>
      <c r="H76" s="498">
        <v>1090</v>
      </c>
      <c r="I76" s="499">
        <v>2850</v>
      </c>
    </row>
    <row r="77" spans="1:9" ht="15" customHeight="1" x14ac:dyDescent="0.25">
      <c r="A77" s="213"/>
      <c r="B77" s="213"/>
      <c r="C77" s="213"/>
      <c r="D77" s="213"/>
      <c r="E77" s="213"/>
      <c r="F77" s="214"/>
      <c r="G77" s="214"/>
      <c r="H77" s="214"/>
      <c r="I77" s="214"/>
    </row>
    <row r="78" spans="1:9" ht="46.5" customHeight="1" x14ac:dyDescent="0.25">
      <c r="A78" s="608" t="s">
        <v>925</v>
      </c>
      <c r="B78" s="608"/>
      <c r="C78" s="608"/>
      <c r="D78" s="608"/>
      <c r="E78" s="608"/>
      <c r="F78" s="608"/>
      <c r="G78" s="608"/>
      <c r="H78" s="608"/>
      <c r="I78" s="608"/>
    </row>
    <row r="79" spans="1:9" x14ac:dyDescent="0.25">
      <c r="A79" s="207"/>
    </row>
    <row r="80" spans="1:9" s="206" customFormat="1" ht="18.649999999999999" customHeight="1" thickBot="1" x14ac:dyDescent="0.4">
      <c r="A80" s="287" t="s">
        <v>926</v>
      </c>
      <c r="B80" s="285"/>
      <c r="C80" s="285"/>
    </row>
    <row r="81" spans="1:9" x14ac:dyDescent="0.25">
      <c r="A81" s="207"/>
    </row>
    <row r="82" spans="1:9" s="215" customFormat="1" ht="50" thickBot="1" x14ac:dyDescent="0.4">
      <c r="A82" s="288" t="s">
        <v>927</v>
      </c>
      <c r="B82" s="288" t="s">
        <v>928</v>
      </c>
      <c r="C82" s="288" t="s">
        <v>929</v>
      </c>
      <c r="D82" s="288" t="s">
        <v>913</v>
      </c>
      <c r="E82" s="288" t="s">
        <v>930</v>
      </c>
      <c r="F82" s="288" t="s">
        <v>931</v>
      </c>
      <c r="G82" s="288" t="s">
        <v>932</v>
      </c>
      <c r="H82" s="288" t="s">
        <v>933</v>
      </c>
      <c r="I82" s="288" t="s">
        <v>934</v>
      </c>
    </row>
    <row r="83" spans="1:9" ht="35.25" customHeight="1" x14ac:dyDescent="0.25">
      <c r="A83" s="617" t="s">
        <v>935</v>
      </c>
      <c r="B83" s="487"/>
      <c r="C83" s="487"/>
      <c r="D83" s="487"/>
      <c r="E83" s="487"/>
      <c r="F83" s="487"/>
      <c r="G83" s="487"/>
      <c r="H83" s="487"/>
      <c r="I83" s="280"/>
    </row>
    <row r="84" spans="1:9" ht="15.5" x14ac:dyDescent="0.25">
      <c r="A84" s="617"/>
      <c r="B84" s="493">
        <v>300</v>
      </c>
      <c r="C84" s="493">
        <v>300</v>
      </c>
      <c r="D84" s="487" t="s">
        <v>915</v>
      </c>
      <c r="E84" s="493">
        <v>100</v>
      </c>
      <c r="F84" s="496" t="s">
        <v>915</v>
      </c>
      <c r="G84" s="493">
        <v>25</v>
      </c>
      <c r="H84" s="487" t="s">
        <v>915</v>
      </c>
      <c r="I84" s="494">
        <v>15</v>
      </c>
    </row>
    <row r="85" spans="1:9" ht="46.5" x14ac:dyDescent="0.25">
      <c r="A85" s="617"/>
      <c r="B85" s="501"/>
      <c r="C85" s="487" t="s">
        <v>936</v>
      </c>
      <c r="D85" s="501"/>
      <c r="E85" s="501"/>
      <c r="F85" s="501"/>
      <c r="G85" s="501"/>
      <c r="H85" s="501"/>
      <c r="I85" s="502"/>
    </row>
    <row r="86" spans="1:9" ht="12.75" customHeight="1" x14ac:dyDescent="0.25">
      <c r="A86" s="617" t="s">
        <v>937</v>
      </c>
      <c r="B86" s="487"/>
      <c r="C86" s="487"/>
      <c r="D86" s="487"/>
      <c r="E86" s="487"/>
      <c r="F86" s="487"/>
      <c r="G86" s="487"/>
      <c r="H86" s="487"/>
      <c r="I86" s="280"/>
    </row>
    <row r="87" spans="1:9" ht="15.5" x14ac:dyDescent="0.25">
      <c r="A87" s="617"/>
      <c r="B87" s="493">
        <v>300</v>
      </c>
      <c r="C87" s="493">
        <v>300</v>
      </c>
      <c r="D87" s="487" t="s">
        <v>915</v>
      </c>
      <c r="E87" s="493">
        <v>100</v>
      </c>
      <c r="F87" s="487" t="s">
        <v>915</v>
      </c>
      <c r="G87" s="493">
        <v>25</v>
      </c>
      <c r="H87" s="487" t="s">
        <v>915</v>
      </c>
      <c r="I87" s="494">
        <v>15</v>
      </c>
    </row>
    <row r="88" spans="1:9" ht="46.5" x14ac:dyDescent="0.25">
      <c r="A88" s="617"/>
      <c r="B88" s="501"/>
      <c r="C88" s="487" t="s">
        <v>936</v>
      </c>
      <c r="D88" s="501"/>
      <c r="E88" s="501"/>
      <c r="F88" s="501"/>
      <c r="G88" s="501"/>
      <c r="H88" s="501"/>
      <c r="I88" s="502"/>
    </row>
    <row r="89" spans="1:9" ht="93" x14ac:dyDescent="0.25">
      <c r="A89" s="617" t="s">
        <v>938</v>
      </c>
      <c r="B89" s="619" t="s">
        <v>939</v>
      </c>
      <c r="C89" s="487" t="s">
        <v>940</v>
      </c>
      <c r="D89" s="487"/>
      <c r="E89" s="487"/>
      <c r="F89" s="487"/>
      <c r="G89" s="487"/>
      <c r="H89" s="487"/>
      <c r="I89" s="280"/>
    </row>
    <row r="90" spans="1:9" ht="46.5" x14ac:dyDescent="0.25">
      <c r="A90" s="617"/>
      <c r="B90" s="619"/>
      <c r="C90" s="487" t="s">
        <v>936</v>
      </c>
      <c r="D90" s="493">
        <v>50</v>
      </c>
      <c r="E90" s="487" t="s">
        <v>915</v>
      </c>
      <c r="F90" s="493">
        <v>100</v>
      </c>
      <c r="G90" s="487" t="s">
        <v>915</v>
      </c>
      <c r="H90" s="487" t="s">
        <v>915</v>
      </c>
      <c r="I90" s="494">
        <v>15</v>
      </c>
    </row>
    <row r="91" spans="1:9" ht="40.5" customHeight="1" x14ac:dyDescent="0.25">
      <c r="A91" s="617" t="s">
        <v>941</v>
      </c>
      <c r="B91" s="612">
        <v>150</v>
      </c>
      <c r="C91" s="619" t="s">
        <v>915</v>
      </c>
      <c r="D91" s="612">
        <v>50</v>
      </c>
      <c r="E91" s="612">
        <v>100</v>
      </c>
      <c r="F91" s="612">
        <v>100</v>
      </c>
      <c r="G91" s="612">
        <v>25</v>
      </c>
      <c r="H91" s="612">
        <v>25</v>
      </c>
      <c r="I91" s="613">
        <v>15</v>
      </c>
    </row>
    <row r="92" spans="1:9" x14ac:dyDescent="0.25">
      <c r="A92" s="617"/>
      <c r="B92" s="612"/>
      <c r="C92" s="619"/>
      <c r="D92" s="612"/>
      <c r="E92" s="612"/>
      <c r="F92" s="612"/>
      <c r="G92" s="612"/>
      <c r="H92" s="612"/>
      <c r="I92" s="613"/>
    </row>
    <row r="93" spans="1:9" ht="15.5" x14ac:dyDescent="0.25">
      <c r="A93" s="500"/>
      <c r="B93" s="493"/>
      <c r="C93" s="487"/>
      <c r="D93" s="493"/>
      <c r="E93" s="493"/>
      <c r="F93" s="493"/>
      <c r="G93" s="493"/>
      <c r="H93" s="493"/>
      <c r="I93" s="494"/>
    </row>
    <row r="94" spans="1:9" ht="15.5" x14ac:dyDescent="0.25">
      <c r="A94" s="607" t="s">
        <v>942</v>
      </c>
      <c r="B94" s="608"/>
      <c r="C94" s="608"/>
      <c r="D94" s="608"/>
      <c r="E94" s="608"/>
      <c r="F94" s="608"/>
      <c r="G94" s="608"/>
      <c r="H94" s="608"/>
      <c r="I94" s="618"/>
    </row>
    <row r="95" spans="1:9" ht="13" thickBot="1" x14ac:dyDescent="0.3">
      <c r="A95" s="217"/>
      <c r="B95" s="218"/>
      <c r="C95" s="218"/>
      <c r="D95" s="218"/>
      <c r="E95" s="218"/>
      <c r="F95" s="218"/>
      <c r="G95" s="218"/>
      <c r="H95" s="218"/>
      <c r="I95" s="219"/>
    </row>
    <row r="96" spans="1:9" x14ac:dyDescent="0.25">
      <c r="A96" s="220"/>
      <c r="B96" s="214"/>
      <c r="C96" s="216"/>
      <c r="D96" s="214"/>
      <c r="E96" s="214"/>
      <c r="F96" s="214"/>
      <c r="G96" s="214"/>
      <c r="H96" s="214"/>
      <c r="I96" s="214"/>
    </row>
    <row r="97" spans="1:9" s="205" customFormat="1" ht="18.5" thickBot="1" x14ac:dyDescent="0.45">
      <c r="A97" s="283" t="s">
        <v>943</v>
      </c>
      <c r="B97" s="284"/>
      <c r="C97" s="284"/>
      <c r="D97" s="284"/>
      <c r="E97" s="284"/>
      <c r="F97" s="284"/>
    </row>
    <row r="98" spans="1:9" ht="16" thickTop="1" x14ac:dyDescent="0.25">
      <c r="A98" s="620" t="s">
        <v>944</v>
      </c>
      <c r="B98" s="620"/>
      <c r="C98" s="620"/>
      <c r="D98" s="620"/>
      <c r="E98" s="620"/>
      <c r="F98" s="620"/>
      <c r="G98" s="620"/>
      <c r="H98" s="620"/>
      <c r="I98" s="620"/>
    </row>
    <row r="99" spans="1:9" x14ac:dyDescent="0.25">
      <c r="A99" s="208"/>
    </row>
    <row r="100" spans="1:9" s="206" customFormat="1" ht="17" thickBot="1" x14ac:dyDescent="0.4">
      <c r="A100" s="212"/>
      <c r="B100" s="221"/>
      <c r="H100" s="289" t="s">
        <v>945</v>
      </c>
      <c r="I100" s="290" t="s">
        <v>946</v>
      </c>
    </row>
    <row r="101" spans="1:9" ht="15.5" x14ac:dyDescent="0.25">
      <c r="A101" s="607" t="s">
        <v>947</v>
      </c>
      <c r="B101" s="608"/>
      <c r="C101" s="608"/>
      <c r="D101" s="608"/>
      <c r="E101" s="608"/>
      <c r="F101" s="608"/>
      <c r="G101" s="608"/>
      <c r="H101" s="503">
        <v>37</v>
      </c>
      <c r="I101" s="504">
        <v>37</v>
      </c>
    </row>
    <row r="102" spans="1:9" ht="15.5" x14ac:dyDescent="0.25">
      <c r="A102" s="607" t="s">
        <v>948</v>
      </c>
      <c r="B102" s="608"/>
      <c r="C102" s="608"/>
      <c r="D102" s="608"/>
      <c r="E102" s="608"/>
      <c r="F102" s="608"/>
      <c r="G102" s="608"/>
      <c r="H102" s="503">
        <v>21</v>
      </c>
      <c r="I102" s="504">
        <v>21</v>
      </c>
    </row>
    <row r="103" spans="1:9" ht="15.5" x14ac:dyDescent="0.25">
      <c r="A103" s="607" t="s">
        <v>949</v>
      </c>
      <c r="B103" s="608"/>
      <c r="C103" s="608"/>
      <c r="D103" s="608"/>
      <c r="E103" s="608"/>
      <c r="F103" s="608"/>
      <c r="G103" s="608"/>
      <c r="H103" s="503">
        <v>10.5</v>
      </c>
      <c r="I103" s="504">
        <v>10.5</v>
      </c>
    </row>
    <row r="104" spans="1:9" ht="15.5" x14ac:dyDescent="0.25">
      <c r="A104" s="607" t="s">
        <v>950</v>
      </c>
      <c r="B104" s="608"/>
      <c r="C104" s="608"/>
      <c r="D104" s="608"/>
      <c r="E104" s="608"/>
      <c r="F104" s="608"/>
      <c r="G104" s="608"/>
      <c r="H104" s="503">
        <v>315</v>
      </c>
      <c r="I104" s="504">
        <v>315</v>
      </c>
    </row>
    <row r="105" spans="1:9" ht="15.5" x14ac:dyDescent="0.25">
      <c r="A105" s="607" t="s">
        <v>951</v>
      </c>
      <c r="B105" s="608"/>
      <c r="C105" s="608"/>
      <c r="D105" s="608"/>
      <c r="E105" s="608"/>
      <c r="F105" s="608"/>
      <c r="G105" s="608"/>
      <c r="H105" s="503">
        <v>10.5</v>
      </c>
      <c r="I105" s="504">
        <v>10.5</v>
      </c>
    </row>
    <row r="106" spans="1:9" ht="15.5" x14ac:dyDescent="0.25">
      <c r="A106" s="607" t="s">
        <v>952</v>
      </c>
      <c r="B106" s="608"/>
      <c r="C106" s="608"/>
      <c r="D106" s="608"/>
      <c r="E106" s="608"/>
      <c r="F106" s="608"/>
      <c r="G106" s="608"/>
      <c r="H106" s="503">
        <v>23</v>
      </c>
      <c r="I106" s="504">
        <v>23</v>
      </c>
    </row>
    <row r="107" spans="1:9" ht="15.5" x14ac:dyDescent="0.25">
      <c r="A107" s="607" t="s">
        <v>953</v>
      </c>
      <c r="B107" s="608"/>
      <c r="C107" s="608"/>
      <c r="D107" s="608"/>
      <c r="E107" s="608"/>
      <c r="F107" s="608"/>
      <c r="G107" s="608"/>
      <c r="H107" s="503">
        <v>23</v>
      </c>
      <c r="I107" s="504">
        <v>23</v>
      </c>
    </row>
    <row r="108" spans="1:9" ht="15.5" x14ac:dyDescent="0.25">
      <c r="A108" s="607" t="s">
        <v>954</v>
      </c>
      <c r="B108" s="608"/>
      <c r="C108" s="608"/>
      <c r="D108" s="608"/>
      <c r="E108" s="608"/>
      <c r="F108" s="608"/>
      <c r="G108" s="608"/>
      <c r="H108" s="503">
        <v>89</v>
      </c>
      <c r="I108" s="504">
        <v>89</v>
      </c>
    </row>
    <row r="109" spans="1:9" ht="15.5" x14ac:dyDescent="0.25">
      <c r="A109" s="607" t="s">
        <v>955</v>
      </c>
      <c r="B109" s="608"/>
      <c r="C109" s="608"/>
      <c r="D109" s="608"/>
      <c r="E109" s="608"/>
      <c r="F109" s="608"/>
      <c r="G109" s="608"/>
      <c r="H109" s="503">
        <v>23</v>
      </c>
      <c r="I109" s="504">
        <v>23</v>
      </c>
    </row>
    <row r="110" spans="1:9" ht="15.5" x14ac:dyDescent="0.25">
      <c r="A110" s="607" t="s">
        <v>956</v>
      </c>
      <c r="B110" s="608"/>
      <c r="C110" s="608"/>
      <c r="D110" s="608"/>
      <c r="E110" s="608"/>
      <c r="F110" s="608"/>
      <c r="G110" s="608"/>
      <c r="H110" s="503">
        <v>10.5</v>
      </c>
      <c r="I110" s="504">
        <v>10.5</v>
      </c>
    </row>
    <row r="111" spans="1:9" ht="15.5" x14ac:dyDescent="0.25">
      <c r="A111" s="607" t="s">
        <v>957</v>
      </c>
      <c r="B111" s="608"/>
      <c r="C111" s="608"/>
      <c r="D111" s="608"/>
      <c r="E111" s="608"/>
      <c r="F111" s="608"/>
      <c r="G111" s="608"/>
      <c r="H111" s="503">
        <v>10.5</v>
      </c>
      <c r="I111" s="504">
        <v>10.5</v>
      </c>
    </row>
    <row r="112" spans="1:9" ht="15.5" x14ac:dyDescent="0.25">
      <c r="A112" s="607" t="s">
        <v>958</v>
      </c>
      <c r="B112" s="608"/>
      <c r="C112" s="608"/>
      <c r="D112" s="608"/>
      <c r="E112" s="608"/>
      <c r="F112" s="608"/>
      <c r="G112" s="608"/>
      <c r="H112" s="503">
        <v>10.5</v>
      </c>
      <c r="I112" s="504">
        <v>10.5</v>
      </c>
    </row>
    <row r="113" spans="1:9" ht="15.5" x14ac:dyDescent="0.25">
      <c r="A113" s="607" t="s">
        <v>959</v>
      </c>
      <c r="B113" s="608"/>
      <c r="C113" s="608"/>
      <c r="D113" s="608"/>
      <c r="E113" s="608"/>
      <c r="F113" s="608"/>
      <c r="G113" s="608"/>
      <c r="H113" s="503">
        <v>10.5</v>
      </c>
      <c r="I113" s="504">
        <v>10.5</v>
      </c>
    </row>
    <row r="114" spans="1:9" ht="15.5" x14ac:dyDescent="0.25">
      <c r="A114" s="607" t="s">
        <v>960</v>
      </c>
      <c r="B114" s="608"/>
      <c r="C114" s="608"/>
      <c r="D114" s="608"/>
      <c r="E114" s="608"/>
      <c r="F114" s="608"/>
      <c r="G114" s="608"/>
      <c r="H114" s="503">
        <v>10.5</v>
      </c>
      <c r="I114" s="504">
        <v>10.5</v>
      </c>
    </row>
    <row r="115" spans="1:9" ht="15.5" x14ac:dyDescent="0.25">
      <c r="A115" s="607" t="s">
        <v>961</v>
      </c>
      <c r="B115" s="608"/>
      <c r="C115" s="608"/>
      <c r="D115" s="608"/>
      <c r="E115" s="608"/>
      <c r="F115" s="608"/>
      <c r="G115" s="608"/>
      <c r="H115" s="503">
        <v>10.5</v>
      </c>
      <c r="I115" s="504">
        <v>10.5</v>
      </c>
    </row>
    <row r="116" spans="1:9" ht="16" thickBot="1" x14ac:dyDescent="0.3">
      <c r="A116" s="609" t="s">
        <v>962</v>
      </c>
      <c r="B116" s="610"/>
      <c r="C116" s="610"/>
      <c r="D116" s="610"/>
      <c r="E116" s="610"/>
      <c r="F116" s="610"/>
      <c r="G116" s="610"/>
      <c r="H116" s="505">
        <v>21</v>
      </c>
      <c r="I116" s="506">
        <v>21</v>
      </c>
    </row>
    <row r="117" spans="1:9" ht="12.75" customHeight="1" x14ac:dyDescent="0.25">
      <c r="A117" s="222"/>
      <c r="B117" s="222"/>
      <c r="C117" s="222"/>
      <c r="D117" s="222"/>
      <c r="E117" s="222"/>
      <c r="F117" s="222"/>
      <c r="G117" s="222"/>
      <c r="H117" s="223"/>
      <c r="I117" s="223"/>
    </row>
    <row r="118" spans="1:9" s="205" customFormat="1" ht="18.5" thickBot="1" x14ac:dyDescent="0.4">
      <c r="A118" s="621" t="s">
        <v>963</v>
      </c>
      <c r="B118" s="621"/>
      <c r="C118" s="621"/>
      <c r="D118" s="621"/>
      <c r="E118" s="621"/>
      <c r="F118" s="621"/>
      <c r="G118" s="621"/>
      <c r="H118" s="224"/>
      <c r="I118" s="224"/>
    </row>
    <row r="119" spans="1:9" ht="15" thickTop="1" x14ac:dyDescent="0.25">
      <c r="A119" s="225"/>
      <c r="H119" s="128"/>
      <c r="I119" s="128"/>
    </row>
    <row r="120" spans="1:9" ht="62" x14ac:dyDescent="0.25">
      <c r="A120" s="312"/>
      <c r="B120" s="313" t="s">
        <v>964</v>
      </c>
      <c r="C120" s="313" t="s">
        <v>1504</v>
      </c>
      <c r="D120" s="313" t="s">
        <v>965</v>
      </c>
      <c r="E120" s="313" t="s">
        <v>966</v>
      </c>
      <c r="F120" s="313" t="s">
        <v>967</v>
      </c>
      <c r="G120" s="313" t="s">
        <v>968</v>
      </c>
      <c r="H120" s="313" t="s">
        <v>969</v>
      </c>
      <c r="I120" s="313" t="s">
        <v>970</v>
      </c>
    </row>
    <row r="121" spans="1:9" ht="15.5" x14ac:dyDescent="0.25">
      <c r="A121" s="314" t="s">
        <v>971</v>
      </c>
      <c r="B121" s="507">
        <v>266</v>
      </c>
      <c r="C121" s="315">
        <v>244</v>
      </c>
      <c r="D121" s="315">
        <v>266</v>
      </c>
      <c r="E121" s="315">
        <v>266</v>
      </c>
      <c r="F121" s="315">
        <v>266</v>
      </c>
      <c r="G121" s="315">
        <v>266</v>
      </c>
      <c r="H121" s="315">
        <v>268</v>
      </c>
      <c r="I121" s="315">
        <v>266</v>
      </c>
    </row>
    <row r="122" spans="1:9" ht="15.5" x14ac:dyDescent="0.25">
      <c r="A122" s="314" t="s">
        <v>972</v>
      </c>
      <c r="B122" s="315">
        <v>132</v>
      </c>
      <c r="C122" s="315">
        <v>114</v>
      </c>
      <c r="D122" s="315">
        <v>132</v>
      </c>
      <c r="E122" s="315">
        <v>132</v>
      </c>
      <c r="F122" s="315">
        <v>132</v>
      </c>
      <c r="G122" s="315">
        <v>132</v>
      </c>
      <c r="H122" s="315">
        <v>60.5</v>
      </c>
      <c r="I122" s="315">
        <v>132</v>
      </c>
    </row>
    <row r="123" spans="1:9" ht="15.5" x14ac:dyDescent="0.25">
      <c r="A123" s="314" t="s">
        <v>973</v>
      </c>
      <c r="B123" s="315">
        <f t="shared" ref="B123:I123" si="0">SUM(B121:B122)</f>
        <v>398</v>
      </c>
      <c r="C123" s="315">
        <f t="shared" si="0"/>
        <v>358</v>
      </c>
      <c r="D123" s="315">
        <f t="shared" si="0"/>
        <v>398</v>
      </c>
      <c r="E123" s="315">
        <f t="shared" si="0"/>
        <v>398</v>
      </c>
      <c r="F123" s="315">
        <f t="shared" si="0"/>
        <v>398</v>
      </c>
      <c r="G123" s="315">
        <f t="shared" si="0"/>
        <v>398</v>
      </c>
      <c r="H123" s="315">
        <f t="shared" si="0"/>
        <v>328.5</v>
      </c>
      <c r="I123" s="315">
        <f t="shared" si="0"/>
        <v>398</v>
      </c>
    </row>
    <row r="124" spans="1:9" ht="31" x14ac:dyDescent="0.25">
      <c r="A124" s="314" t="s">
        <v>974</v>
      </c>
      <c r="B124" s="315">
        <v>266</v>
      </c>
      <c r="C124" s="315">
        <v>244</v>
      </c>
      <c r="D124" s="315">
        <v>266</v>
      </c>
      <c r="E124" s="315">
        <v>266</v>
      </c>
      <c r="F124" s="315">
        <v>266</v>
      </c>
      <c r="G124" s="315">
        <v>266</v>
      </c>
      <c r="H124" s="315">
        <v>266</v>
      </c>
      <c r="I124" s="315">
        <v>266</v>
      </c>
    </row>
    <row r="125" spans="1:9" ht="15.5" x14ac:dyDescent="0.25">
      <c r="A125" s="314" t="s">
        <v>975</v>
      </c>
      <c r="B125" s="315">
        <v>132</v>
      </c>
      <c r="C125" s="315">
        <v>114</v>
      </c>
      <c r="D125" s="315">
        <v>132</v>
      </c>
      <c r="E125" s="315">
        <v>132</v>
      </c>
      <c r="F125" s="315">
        <v>132</v>
      </c>
      <c r="G125" s="315">
        <v>132</v>
      </c>
      <c r="H125" s="315">
        <v>60.5</v>
      </c>
      <c r="I125" s="315">
        <v>132</v>
      </c>
    </row>
    <row r="126" spans="1:9" ht="15.5" x14ac:dyDescent="0.25">
      <c r="A126" s="314" t="s">
        <v>973</v>
      </c>
      <c r="B126" s="315">
        <f t="shared" ref="B126:I126" si="1">SUM(B124:B125)</f>
        <v>398</v>
      </c>
      <c r="C126" s="315">
        <f t="shared" si="1"/>
        <v>358</v>
      </c>
      <c r="D126" s="315">
        <f t="shared" si="1"/>
        <v>398</v>
      </c>
      <c r="E126" s="315">
        <f t="shared" si="1"/>
        <v>398</v>
      </c>
      <c r="F126" s="315">
        <f t="shared" si="1"/>
        <v>398</v>
      </c>
      <c r="G126" s="315">
        <f t="shared" si="1"/>
        <v>398</v>
      </c>
      <c r="H126" s="315">
        <f t="shared" si="1"/>
        <v>326.5</v>
      </c>
      <c r="I126" s="315">
        <f t="shared" si="1"/>
        <v>398</v>
      </c>
    </row>
    <row r="127" spans="1:9" ht="15.5" x14ac:dyDescent="0.25">
      <c r="A127" s="314" t="s">
        <v>976</v>
      </c>
      <c r="B127" s="315" t="s">
        <v>977</v>
      </c>
      <c r="C127" s="315" t="s">
        <v>977</v>
      </c>
      <c r="D127" s="315" t="s">
        <v>977</v>
      </c>
      <c r="E127" s="315" t="s">
        <v>977</v>
      </c>
      <c r="F127" s="315" t="s">
        <v>977</v>
      </c>
      <c r="G127" s="315" t="s">
        <v>977</v>
      </c>
      <c r="H127" s="315" t="s">
        <v>977</v>
      </c>
      <c r="I127" s="315" t="s">
        <v>977</v>
      </c>
    </row>
    <row r="128" spans="1:9" ht="31" x14ac:dyDescent="0.25">
      <c r="A128" s="314" t="s">
        <v>978</v>
      </c>
      <c r="B128" s="315">
        <v>90</v>
      </c>
      <c r="C128" s="315">
        <v>90</v>
      </c>
      <c r="D128" s="315">
        <v>90</v>
      </c>
      <c r="E128" s="315">
        <v>90</v>
      </c>
      <c r="F128" s="315">
        <v>90</v>
      </c>
      <c r="G128" s="315">
        <v>90</v>
      </c>
      <c r="H128" s="315">
        <v>90</v>
      </c>
      <c r="I128" s="315" t="s">
        <v>979</v>
      </c>
    </row>
    <row r="129" spans="1:9" ht="15.5" x14ac:dyDescent="0.25">
      <c r="A129" s="316"/>
      <c r="B129" s="317"/>
      <c r="C129" s="317"/>
      <c r="D129" s="317"/>
      <c r="E129" s="317"/>
      <c r="F129" s="317"/>
      <c r="G129" s="317"/>
      <c r="H129" s="317"/>
      <c r="I129" s="317"/>
    </row>
    <row r="130" spans="1:9" ht="15.5" x14ac:dyDescent="0.25">
      <c r="A130" s="318" t="s">
        <v>980</v>
      </c>
      <c r="H130" s="128"/>
      <c r="I130" s="128"/>
    </row>
    <row r="131" spans="1:9" ht="33" customHeight="1" x14ac:dyDescent="0.25">
      <c r="A131" s="599" t="s">
        <v>1508</v>
      </c>
      <c r="B131" s="600"/>
      <c r="C131" s="600"/>
      <c r="D131" s="600"/>
      <c r="E131" s="600"/>
      <c r="F131" s="601"/>
      <c r="H131" s="128"/>
      <c r="I131" s="128"/>
    </row>
    <row r="132" spans="1:9" ht="15.5" x14ac:dyDescent="0.25">
      <c r="A132" s="622" t="s">
        <v>1505</v>
      </c>
      <c r="B132" s="623"/>
      <c r="C132" s="623"/>
      <c r="D132" s="623"/>
      <c r="E132" s="623"/>
      <c r="F132" s="624"/>
      <c r="H132" s="128"/>
      <c r="I132" s="128"/>
    </row>
    <row r="133" spans="1:9" ht="15.5" x14ac:dyDescent="0.25">
      <c r="A133" s="622" t="s">
        <v>1506</v>
      </c>
      <c r="B133" s="623"/>
      <c r="C133" s="623"/>
      <c r="D133" s="623"/>
      <c r="E133" s="623"/>
      <c r="F133" s="624"/>
      <c r="H133" s="128"/>
      <c r="I133" s="128"/>
    </row>
    <row r="134" spans="1:9" ht="33" customHeight="1" x14ac:dyDescent="0.25">
      <c r="A134" s="599" t="s">
        <v>1507</v>
      </c>
      <c r="B134" s="600"/>
      <c r="C134" s="600"/>
      <c r="D134" s="600"/>
      <c r="E134" s="600"/>
      <c r="F134" s="601"/>
      <c r="H134" s="128"/>
      <c r="I134" s="128"/>
    </row>
    <row r="135" spans="1:9" ht="14.5" x14ac:dyDescent="0.25">
      <c r="A135" s="225"/>
      <c r="H135" s="128"/>
      <c r="I135" s="128"/>
    </row>
    <row r="136" spans="1:9" ht="14.5" x14ac:dyDescent="0.25">
      <c r="A136" s="225"/>
      <c r="H136" s="128"/>
      <c r="I136" s="128"/>
    </row>
    <row r="137" spans="1:9" s="206" customFormat="1" ht="17" thickBot="1" x14ac:dyDescent="0.4">
      <c r="A137" s="625" t="s">
        <v>981</v>
      </c>
      <c r="B137" s="625"/>
      <c r="C137" s="625"/>
      <c r="D137" s="625"/>
      <c r="E137" s="625"/>
      <c r="F137" s="625"/>
      <c r="G137" s="625"/>
      <c r="H137" s="289" t="s">
        <v>945</v>
      </c>
      <c r="I137" s="290" t="s">
        <v>946</v>
      </c>
    </row>
    <row r="138" spans="1:9" ht="15.5" x14ac:dyDescent="0.25">
      <c r="A138" s="626" t="s">
        <v>982</v>
      </c>
      <c r="B138" s="626"/>
      <c r="C138" s="626"/>
      <c r="D138" s="626"/>
      <c r="E138" s="626"/>
      <c r="F138" s="626"/>
      <c r="G138" s="626"/>
      <c r="H138" s="291">
        <v>951.5</v>
      </c>
      <c r="I138" s="291">
        <v>280</v>
      </c>
    </row>
    <row r="139" spans="1:9" ht="15.5" x14ac:dyDescent="0.25">
      <c r="A139" s="626" t="s">
        <v>983</v>
      </c>
      <c r="B139" s="626"/>
      <c r="C139" s="626"/>
      <c r="D139" s="626"/>
      <c r="E139" s="626"/>
      <c r="F139" s="626"/>
      <c r="G139" s="626"/>
      <c r="H139" s="291">
        <v>951.5</v>
      </c>
      <c r="I139" s="291">
        <v>280</v>
      </c>
    </row>
    <row r="140" spans="1:9" ht="15.5" x14ac:dyDescent="0.25">
      <c r="A140" s="626" t="s">
        <v>984</v>
      </c>
      <c r="B140" s="626"/>
      <c r="C140" s="626"/>
      <c r="D140" s="626"/>
      <c r="E140" s="626"/>
      <c r="F140" s="626"/>
      <c r="G140" s="626"/>
      <c r="H140" s="291">
        <v>1037</v>
      </c>
      <c r="I140" s="291">
        <v>625</v>
      </c>
    </row>
    <row r="141" spans="1:9" ht="15.5" x14ac:dyDescent="0.25">
      <c r="A141" s="626" t="s">
        <v>985</v>
      </c>
      <c r="B141" s="626"/>
      <c r="C141" s="626"/>
      <c r="D141" s="626"/>
      <c r="E141" s="626"/>
      <c r="F141" s="626"/>
      <c r="G141" s="626"/>
      <c r="H141" s="291">
        <v>1802</v>
      </c>
      <c r="I141" s="291">
        <v>731</v>
      </c>
    </row>
    <row r="142" spans="1:9" ht="15.5" x14ac:dyDescent="0.25">
      <c r="A142" s="626" t="s">
        <v>986</v>
      </c>
      <c r="B142" s="626"/>
      <c r="C142" s="626"/>
      <c r="D142" s="626"/>
      <c r="E142" s="626"/>
      <c r="F142" s="626"/>
      <c r="G142" s="626"/>
      <c r="H142" s="291">
        <v>2609</v>
      </c>
      <c r="I142" s="291">
        <v>837</v>
      </c>
    </row>
    <row r="143" spans="1:9" ht="15.5" x14ac:dyDescent="0.25">
      <c r="A143" s="626" t="s">
        <v>978</v>
      </c>
      <c r="B143" s="626"/>
      <c r="C143" s="626"/>
      <c r="D143" s="626"/>
      <c r="E143" s="626"/>
      <c r="F143" s="626"/>
      <c r="G143" s="626"/>
      <c r="H143" s="291">
        <v>131</v>
      </c>
      <c r="I143" s="291">
        <v>135</v>
      </c>
    </row>
    <row r="144" spans="1:9" ht="15.5" x14ac:dyDescent="0.25">
      <c r="A144" s="435"/>
      <c r="B144" s="435"/>
      <c r="C144" s="435"/>
      <c r="D144" s="435"/>
      <c r="E144" s="435"/>
      <c r="F144" s="435"/>
      <c r="G144" s="435"/>
      <c r="H144" s="508"/>
      <c r="I144" s="508"/>
    </row>
    <row r="145" spans="1:9" ht="15.5" x14ac:dyDescent="0.25">
      <c r="A145" s="602" t="s">
        <v>1509</v>
      </c>
      <c r="B145" s="602"/>
      <c r="C145" s="602"/>
      <c r="D145" s="602"/>
      <c r="E145" s="602"/>
      <c r="F145" s="602"/>
      <c r="G145" s="435"/>
      <c r="H145" s="508"/>
      <c r="I145" s="508"/>
    </row>
    <row r="146" spans="1:9" ht="14.5" x14ac:dyDescent="0.35">
      <c r="A146" s="225"/>
      <c r="H146" s="226"/>
      <c r="I146" s="226"/>
    </row>
    <row r="147" spans="1:9" ht="17" thickBot="1" x14ac:dyDescent="0.4">
      <c r="A147" s="625" t="s">
        <v>987</v>
      </c>
      <c r="B147" s="625"/>
      <c r="C147" s="625"/>
      <c r="D147" s="625"/>
      <c r="E147" s="625"/>
      <c r="F147" s="625"/>
      <c r="G147" s="625"/>
      <c r="H147" s="228"/>
      <c r="I147" s="228"/>
    </row>
    <row r="148" spans="1:9" ht="15.5" x14ac:dyDescent="0.25">
      <c r="A148" s="626" t="s">
        <v>988</v>
      </c>
      <c r="B148" s="626"/>
      <c r="C148" s="626"/>
      <c r="D148" s="626"/>
      <c r="E148" s="626"/>
      <c r="F148" s="626"/>
      <c r="G148" s="626"/>
      <c r="H148" s="291">
        <v>1279</v>
      </c>
      <c r="I148" s="291">
        <f>1279+71</f>
        <v>1350</v>
      </c>
    </row>
    <row r="149" spans="1:9" ht="14.5" x14ac:dyDescent="0.35">
      <c r="A149" s="229"/>
      <c r="H149" s="226"/>
      <c r="I149" s="226"/>
    </row>
    <row r="150" spans="1:9" ht="17" thickBot="1" x14ac:dyDescent="0.4">
      <c r="A150" s="625" t="s">
        <v>989</v>
      </c>
      <c r="B150" s="625"/>
      <c r="C150" s="625"/>
      <c r="D150" s="625"/>
      <c r="E150" s="625"/>
      <c r="F150" s="625"/>
      <c r="G150" s="625"/>
      <c r="H150" s="228"/>
      <c r="I150" s="228"/>
    </row>
    <row r="151" spans="1:9" ht="15.5" x14ac:dyDescent="0.25">
      <c r="A151" s="626" t="s">
        <v>990</v>
      </c>
      <c r="B151" s="626"/>
      <c r="C151" s="626"/>
      <c r="D151" s="626"/>
      <c r="E151" s="626"/>
      <c r="F151" s="626"/>
      <c r="G151" s="626"/>
      <c r="H151" s="291">
        <v>34</v>
      </c>
      <c r="I151" s="291">
        <v>34</v>
      </c>
    </row>
    <row r="153" spans="1:9" ht="31" customHeight="1" x14ac:dyDescent="0.25">
      <c r="A153" s="602" t="s">
        <v>1522</v>
      </c>
      <c r="B153" s="602"/>
      <c r="C153" s="602"/>
      <c r="D153" s="602"/>
      <c r="E153" s="602"/>
      <c r="F153" s="602"/>
      <c r="G153" s="602"/>
      <c r="H153" s="602"/>
      <c r="I153" s="602"/>
    </row>
    <row r="154" spans="1:9" ht="62.5" customHeight="1" x14ac:dyDescent="0.25">
      <c r="A154" s="297"/>
      <c r="B154" s="296"/>
      <c r="C154" s="296"/>
      <c r="D154" s="296"/>
      <c r="E154" s="296"/>
      <c r="F154" s="296"/>
      <c r="G154" s="296"/>
      <c r="H154" s="296"/>
      <c r="I154" s="333"/>
    </row>
    <row r="155" spans="1:9" ht="15.5" x14ac:dyDescent="0.25">
      <c r="A155" s="295"/>
    </row>
  </sheetData>
  <mergeCells count="125">
    <mergeCell ref="A147:G147"/>
    <mergeCell ref="A148:G148"/>
    <mergeCell ref="A150:G150"/>
    <mergeCell ref="A151:G151"/>
    <mergeCell ref="A153:I153"/>
    <mergeCell ref="A143:G143"/>
    <mergeCell ref="A137:G137"/>
    <mergeCell ref="A138:G138"/>
    <mergeCell ref="A139:G139"/>
    <mergeCell ref="A141:G141"/>
    <mergeCell ref="A142:G142"/>
    <mergeCell ref="A140:G140"/>
    <mergeCell ref="A112:G112"/>
    <mergeCell ref="A113:G113"/>
    <mergeCell ref="A114:G114"/>
    <mergeCell ref="A115:G115"/>
    <mergeCell ref="A116:G116"/>
    <mergeCell ref="A118:G118"/>
    <mergeCell ref="A131:F131"/>
    <mergeCell ref="A132:F132"/>
    <mergeCell ref="A133:F133"/>
    <mergeCell ref="A106:G106"/>
    <mergeCell ref="A107:G107"/>
    <mergeCell ref="A108:G108"/>
    <mergeCell ref="A109:G109"/>
    <mergeCell ref="A110:G110"/>
    <mergeCell ref="A111:G111"/>
    <mergeCell ref="A98:I98"/>
    <mergeCell ref="A101:G101"/>
    <mergeCell ref="A102:G102"/>
    <mergeCell ref="A103:G103"/>
    <mergeCell ref="A104:G104"/>
    <mergeCell ref="A105:G105"/>
    <mergeCell ref="E91:E92"/>
    <mergeCell ref="F91:F92"/>
    <mergeCell ref="G91:G92"/>
    <mergeCell ref="H91:H92"/>
    <mergeCell ref="I91:I92"/>
    <mergeCell ref="A94:I94"/>
    <mergeCell ref="A89:A90"/>
    <mergeCell ref="B89:B90"/>
    <mergeCell ref="A91:A92"/>
    <mergeCell ref="B91:B92"/>
    <mergeCell ref="C91:C92"/>
    <mergeCell ref="D91:D92"/>
    <mergeCell ref="A74:E74"/>
    <mergeCell ref="A75:E75"/>
    <mergeCell ref="A76:E76"/>
    <mergeCell ref="A78:I78"/>
    <mergeCell ref="A83:A85"/>
    <mergeCell ref="A86:A88"/>
    <mergeCell ref="A71:E71"/>
    <mergeCell ref="A72:E72"/>
    <mergeCell ref="A73:E73"/>
    <mergeCell ref="A63:E63"/>
    <mergeCell ref="A64:E64"/>
    <mergeCell ref="A65:E65"/>
    <mergeCell ref="A66:E66"/>
    <mergeCell ref="A67:E67"/>
    <mergeCell ref="A70:E70"/>
    <mergeCell ref="B56:I56"/>
    <mergeCell ref="A61:C61"/>
    <mergeCell ref="A62:E62"/>
    <mergeCell ref="B47:C47"/>
    <mergeCell ref="E47:F47"/>
    <mergeCell ref="H47:I47"/>
    <mergeCell ref="A51:I51"/>
    <mergeCell ref="A53:I53"/>
    <mergeCell ref="B55:I55"/>
    <mergeCell ref="B45:C45"/>
    <mergeCell ref="E45:F45"/>
    <mergeCell ref="H45:I45"/>
    <mergeCell ref="B46:C46"/>
    <mergeCell ref="E46:F46"/>
    <mergeCell ref="H46:I46"/>
    <mergeCell ref="B43:C43"/>
    <mergeCell ref="E43:F43"/>
    <mergeCell ref="H43:I43"/>
    <mergeCell ref="B44:C44"/>
    <mergeCell ref="E44:F44"/>
    <mergeCell ref="H44:I44"/>
    <mergeCell ref="B41:C41"/>
    <mergeCell ref="E41:F41"/>
    <mergeCell ref="H41:I41"/>
    <mergeCell ref="B42:C42"/>
    <mergeCell ref="E42:F42"/>
    <mergeCell ref="H42:I42"/>
    <mergeCell ref="A27:F27"/>
    <mergeCell ref="A28:F28"/>
    <mergeCell ref="B39:C39"/>
    <mergeCell ref="E39:F39"/>
    <mergeCell ref="H39:I39"/>
    <mergeCell ref="B40:C40"/>
    <mergeCell ref="E40:F40"/>
    <mergeCell ref="H40:I40"/>
    <mergeCell ref="B37:C37"/>
    <mergeCell ref="E37:F37"/>
    <mergeCell ref="H37:I37"/>
    <mergeCell ref="B38:C38"/>
    <mergeCell ref="E38:F38"/>
    <mergeCell ref="H38:I38"/>
    <mergeCell ref="A134:F134"/>
    <mergeCell ref="A145:F145"/>
    <mergeCell ref="A3:I3"/>
    <mergeCell ref="A5:I5"/>
    <mergeCell ref="A7:I7"/>
    <mergeCell ref="A9:I9"/>
    <mergeCell ref="A11:D11"/>
    <mergeCell ref="A12:D12"/>
    <mergeCell ref="A29:F29"/>
    <mergeCell ref="A31:I31"/>
    <mergeCell ref="A34:I34"/>
    <mergeCell ref="A21:H21"/>
    <mergeCell ref="A22:H22"/>
    <mergeCell ref="A24:I24"/>
    <mergeCell ref="A13:D13"/>
    <mergeCell ref="A14:D14"/>
    <mergeCell ref="A17:H17"/>
    <mergeCell ref="A18:H18"/>
    <mergeCell ref="A19:H19"/>
    <mergeCell ref="A20:H20"/>
    <mergeCell ref="A36:D36"/>
    <mergeCell ref="E36:F36"/>
    <mergeCell ref="H36:I36"/>
    <mergeCell ref="A26:F26"/>
  </mergeCells>
  <printOptions horizontalCentered="1"/>
  <pageMargins left="0.70866141732283472" right="0.70866141732283472" top="0.94488188976377963" bottom="0.74803149606299213" header="0.31496062992125984" footer="0.31496062992125984"/>
  <pageSetup paperSize="9" scale="60" fitToHeight="0" orientation="portrait" r:id="rId1"/>
  <headerFooter alignWithMargins="0">
    <oddHeader>&amp;L&amp;"Arial,Bold"&amp;16&amp;A&amp;C&amp;"Arial,Bold"&amp;16FEES AND CHARGES 2024/25</oddHeader>
    <oddFooter>&amp;L&amp;"Arial,Bold"&amp;16&amp;A&amp;C&amp;"Arial,Bold"&amp;16&amp;P</oddFooter>
  </headerFooter>
  <rowBreaks count="5" manualBreakCount="5">
    <brk id="48" max="16383" man="1"/>
    <brk id="68" max="16383" man="1"/>
    <brk id="79" max="16383" man="1"/>
    <brk id="96" max="16383" man="1"/>
    <brk id="117" max="8" man="1"/>
  </rowBreaks>
  <ignoredErrors>
    <ignoredError sqref="B126:H126"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02B6-6321-4F90-AA46-EADA215D588E}">
  <dimension ref="A1:L10"/>
  <sheetViews>
    <sheetView zoomScaleNormal="100" zoomScaleSheetLayoutView="70" workbookViewId="0">
      <selection sqref="A1:B1"/>
    </sheetView>
  </sheetViews>
  <sheetFormatPr defaultColWidth="9.1796875" defaultRowHeight="12.5" x14ac:dyDescent="0.25"/>
  <cols>
    <col min="1" max="1" width="5.7265625" style="128" customWidth="1"/>
    <col min="2" max="2" width="91.54296875" style="123" bestFit="1" customWidth="1"/>
    <col min="3" max="3" width="21.81640625" style="123" customWidth="1"/>
    <col min="4" max="4" width="16" style="123" customWidth="1"/>
    <col min="5" max="5" width="10.54296875" style="123" customWidth="1"/>
    <col min="6" max="6" width="16.26953125" style="123" customWidth="1"/>
    <col min="7" max="7" width="3.453125" style="123" customWidth="1"/>
    <col min="8" max="8" width="16.26953125" style="123" customWidth="1"/>
    <col min="9" max="9" width="10.54296875" style="123" customWidth="1"/>
    <col min="10" max="10" width="16.26953125" style="123" customWidth="1"/>
    <col min="11" max="11" width="12.26953125" style="123" customWidth="1"/>
    <col min="12" max="12" width="11" style="123" customWidth="1"/>
    <col min="13" max="13" width="30.1796875" style="123" customWidth="1"/>
    <col min="14" max="16384" width="9.1796875" style="123"/>
  </cols>
  <sheetData>
    <row r="1" spans="1:12" s="119" customFormat="1" ht="78.75" customHeight="1" thickBot="1" x14ac:dyDescent="0.45">
      <c r="A1" s="520" t="s">
        <v>1</v>
      </c>
      <c r="B1" s="520"/>
      <c r="C1" s="26" t="s">
        <v>2</v>
      </c>
      <c r="D1" s="26" t="s">
        <v>3</v>
      </c>
      <c r="E1" s="26" t="s">
        <v>4</v>
      </c>
      <c r="F1" s="26" t="s">
        <v>5</v>
      </c>
      <c r="G1" s="26"/>
      <c r="H1" s="26" t="s">
        <v>6</v>
      </c>
      <c r="I1" s="26" t="s">
        <v>4</v>
      </c>
      <c r="J1" s="26" t="s">
        <v>7</v>
      </c>
      <c r="K1" s="522" t="s">
        <v>8</v>
      </c>
      <c r="L1" s="522"/>
    </row>
    <row r="2" spans="1:12" s="61" customFormat="1" ht="16" thickTop="1" x14ac:dyDescent="0.35">
      <c r="A2" s="120"/>
      <c r="B2" s="100"/>
      <c r="C2" s="39"/>
      <c r="D2" s="21" t="s">
        <v>9</v>
      </c>
      <c r="E2" s="21" t="s">
        <v>9</v>
      </c>
      <c r="F2" s="21" t="s">
        <v>9</v>
      </c>
      <c r="G2" s="32"/>
      <c r="H2" s="21" t="s">
        <v>9</v>
      </c>
      <c r="I2" s="21" t="s">
        <v>9</v>
      </c>
      <c r="J2" s="21" t="s">
        <v>9</v>
      </c>
      <c r="K2" s="21" t="s">
        <v>9</v>
      </c>
      <c r="L2" s="20" t="s">
        <v>10</v>
      </c>
    </row>
    <row r="3" spans="1:12" ht="15.5" x14ac:dyDescent="0.25">
      <c r="A3" s="71"/>
      <c r="B3" s="19"/>
      <c r="C3" s="39"/>
      <c r="D3" s="121"/>
      <c r="E3" s="121"/>
      <c r="F3" s="121"/>
      <c r="G3" s="122"/>
      <c r="H3" s="121"/>
      <c r="I3" s="121"/>
      <c r="J3" s="121"/>
      <c r="K3" s="121"/>
      <c r="L3" s="121"/>
    </row>
    <row r="4" spans="1:12" ht="15" customHeight="1" x14ac:dyDescent="0.25">
      <c r="A4" s="71">
        <v>1</v>
      </c>
      <c r="B4" s="70" t="s">
        <v>991</v>
      </c>
      <c r="C4" s="16" t="s">
        <v>191</v>
      </c>
      <c r="D4" s="230">
        <f>D6+D5</f>
        <v>132</v>
      </c>
      <c r="E4" s="15">
        <f>E6</f>
        <v>19.399999999999999</v>
      </c>
      <c r="F4" s="124">
        <f t="shared" ref="F4:F7" si="0">SUM(D4+E4)</f>
        <v>151.4</v>
      </c>
      <c r="G4" s="125"/>
      <c r="H4" s="230">
        <f>H6+H5</f>
        <v>136</v>
      </c>
      <c r="I4" s="15">
        <f>I6</f>
        <v>20</v>
      </c>
      <c r="J4" s="124">
        <f t="shared" ref="J4:J10" si="1">SUM(H4+I4)</f>
        <v>156</v>
      </c>
      <c r="K4" s="41">
        <f t="shared" ref="K4:K10" si="2">J4-F4</f>
        <v>4.5999999999999943</v>
      </c>
      <c r="L4" s="8">
        <f t="shared" ref="L4:L10" si="3">IF(F4="","NEW",K4/F4)</f>
        <v>3.0383091149273411E-2</v>
      </c>
    </row>
    <row r="5" spans="1:12" ht="15" customHeight="1" x14ac:dyDescent="0.25">
      <c r="A5" s="71">
        <f>A4+1</f>
        <v>2</v>
      </c>
      <c r="B5" s="70" t="s">
        <v>992</v>
      </c>
      <c r="C5" s="16" t="s">
        <v>191</v>
      </c>
      <c r="D5" s="230">
        <v>35</v>
      </c>
      <c r="E5" s="230"/>
      <c r="F5" s="124">
        <f t="shared" si="0"/>
        <v>35</v>
      </c>
      <c r="G5" s="125"/>
      <c r="H5" s="230">
        <f>MROUND((D5*(1+Sheet1!$C$3)),0.1)</f>
        <v>36</v>
      </c>
      <c r="I5" s="230"/>
      <c r="J5" s="124">
        <f t="shared" si="1"/>
        <v>36</v>
      </c>
      <c r="K5" s="41">
        <f t="shared" si="2"/>
        <v>1</v>
      </c>
      <c r="L5" s="8">
        <f t="shared" si="3"/>
        <v>2.8571428571428571E-2</v>
      </c>
    </row>
    <row r="6" spans="1:12" ht="15" customHeight="1" x14ac:dyDescent="0.25">
      <c r="A6" s="71">
        <f t="shared" ref="A6:A10" si="4">A5+1</f>
        <v>3</v>
      </c>
      <c r="B6" s="70" t="s">
        <v>993</v>
      </c>
      <c r="C6" s="16" t="s">
        <v>191</v>
      </c>
      <c r="D6" s="230">
        <v>97</v>
      </c>
      <c r="E6" s="231">
        <f>ROUND(D6*0.2,2)</f>
        <v>19.399999999999999</v>
      </c>
      <c r="F6" s="124">
        <f t="shared" si="0"/>
        <v>116.4</v>
      </c>
      <c r="G6" s="125"/>
      <c r="H6" s="230">
        <f>MROUND((D6*(1+Sheet1!$C$3)),0.1)+0.3</f>
        <v>100</v>
      </c>
      <c r="I6" s="231">
        <f>ROUND(H6*0.2,2)</f>
        <v>20</v>
      </c>
      <c r="J6" s="124">
        <f t="shared" si="1"/>
        <v>120</v>
      </c>
      <c r="K6" s="41">
        <f t="shared" si="2"/>
        <v>3.5999999999999943</v>
      </c>
      <c r="L6" s="8">
        <f t="shared" si="3"/>
        <v>3.0927835051546341E-2</v>
      </c>
    </row>
    <row r="7" spans="1:12" ht="15" customHeight="1" x14ac:dyDescent="0.25">
      <c r="A7" s="71">
        <f t="shared" si="4"/>
        <v>4</v>
      </c>
      <c r="B7" s="70" t="s">
        <v>994</v>
      </c>
      <c r="C7" s="16" t="s">
        <v>191</v>
      </c>
      <c r="D7" s="230">
        <f>D9+D8</f>
        <v>18.5</v>
      </c>
      <c r="E7" s="231">
        <f>E9</f>
        <v>2.7</v>
      </c>
      <c r="F7" s="124">
        <f t="shared" si="0"/>
        <v>21.2</v>
      </c>
      <c r="G7" s="124"/>
      <c r="H7" s="230">
        <f>H9+H8</f>
        <v>19.670000000000002</v>
      </c>
      <c r="I7" s="231">
        <f>I9</f>
        <v>2.83</v>
      </c>
      <c r="J7" s="124">
        <f t="shared" si="1"/>
        <v>22.5</v>
      </c>
      <c r="K7" s="41">
        <f t="shared" si="2"/>
        <v>1.3000000000000007</v>
      </c>
      <c r="L7" s="8">
        <f t="shared" si="3"/>
        <v>6.1320754716981167E-2</v>
      </c>
    </row>
    <row r="8" spans="1:12" ht="15.5" x14ac:dyDescent="0.25">
      <c r="A8" s="71">
        <f t="shared" si="4"/>
        <v>5</v>
      </c>
      <c r="B8" s="70" t="s">
        <v>995</v>
      </c>
      <c r="C8" s="16" t="s">
        <v>191</v>
      </c>
      <c r="D8" s="230">
        <v>5</v>
      </c>
      <c r="E8" s="451"/>
      <c r="F8" s="124">
        <f t="shared" ref="F8:F10" si="5">SUM(D8+E8)</f>
        <v>5</v>
      </c>
      <c r="G8" s="451"/>
      <c r="H8" s="230">
        <f>MROUND((D8*(1+Sheet1!$C$3)),0.1)+0.4</f>
        <v>5.5000000000000009</v>
      </c>
      <c r="I8" s="452"/>
      <c r="J8" s="124">
        <f t="shared" si="1"/>
        <v>5.5000000000000009</v>
      </c>
      <c r="K8" s="41">
        <f t="shared" si="2"/>
        <v>0.50000000000000089</v>
      </c>
      <c r="L8" s="8">
        <f t="shared" si="3"/>
        <v>0.10000000000000017</v>
      </c>
    </row>
    <row r="9" spans="1:12" ht="15.5" x14ac:dyDescent="0.25">
      <c r="A9" s="71">
        <f t="shared" si="4"/>
        <v>6</v>
      </c>
      <c r="B9" s="70" t="s">
        <v>996</v>
      </c>
      <c r="C9" s="16" t="s">
        <v>191</v>
      </c>
      <c r="D9" s="230">
        <v>13.5</v>
      </c>
      <c r="E9" s="231">
        <f>ROUND(D9*0.2,2)</f>
        <v>2.7</v>
      </c>
      <c r="F9" s="124">
        <f t="shared" si="5"/>
        <v>16.2</v>
      </c>
      <c r="G9" s="451"/>
      <c r="H9" s="230">
        <f>MROUND((D9*(1+Sheet1!$C$3)),0.1)+0.27</f>
        <v>14.17</v>
      </c>
      <c r="I9" s="231">
        <f>ROUND(H9*0.2,2)</f>
        <v>2.83</v>
      </c>
      <c r="J9" s="124">
        <f t="shared" si="1"/>
        <v>17</v>
      </c>
      <c r="K9" s="41">
        <f t="shared" si="2"/>
        <v>0.80000000000000071</v>
      </c>
      <c r="L9" s="8">
        <f t="shared" si="3"/>
        <v>4.9382716049382762E-2</v>
      </c>
    </row>
    <row r="10" spans="1:12" ht="15" customHeight="1" x14ac:dyDescent="0.25">
      <c r="A10" s="71">
        <f t="shared" si="4"/>
        <v>7</v>
      </c>
      <c r="B10" s="70" t="s">
        <v>997</v>
      </c>
      <c r="C10" s="16" t="s">
        <v>191</v>
      </c>
      <c r="D10" s="230">
        <v>20</v>
      </c>
      <c r="E10" s="231">
        <f>ROUND(D10*0.2,2)</f>
        <v>4</v>
      </c>
      <c r="F10" s="124">
        <f t="shared" si="5"/>
        <v>24</v>
      </c>
      <c r="G10" s="124"/>
      <c r="H10" s="230">
        <f>MROUND((D10*(1+Sheet1!$C$3)),0.1)+0.23</f>
        <v>20.830000000000002</v>
      </c>
      <c r="I10" s="231">
        <f>ROUND(H10*0.2,2)</f>
        <v>4.17</v>
      </c>
      <c r="J10" s="124">
        <f t="shared" si="1"/>
        <v>25</v>
      </c>
      <c r="K10" s="41">
        <f t="shared" si="2"/>
        <v>1</v>
      </c>
      <c r="L10" s="8">
        <f t="shared" si="3"/>
        <v>4.1666666666666664E-2</v>
      </c>
    </row>
  </sheetData>
  <sheetProtection selectLockedCells="1"/>
  <mergeCells count="2">
    <mergeCell ref="A1:B1"/>
    <mergeCell ref="K1:L1"/>
  </mergeCells>
  <conditionalFormatting sqref="L4:L10">
    <cfRule type="cellIs" dxfId="13" priority="3" operator="equal">
      <formula>"NEW"</formula>
    </cfRule>
  </conditionalFormatting>
  <dataValidations disablePrompts="1" count="1">
    <dataValidation type="list" allowBlank="1" showInputMessage="1" showErrorMessage="1" sqref="C4:C10" xr:uid="{DDEB68F7-20C8-4704-8D8D-74FF4811FFE0}">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210D-D18E-4D68-9984-E7323A620A1B}">
  <dimension ref="A1:M93"/>
  <sheetViews>
    <sheetView zoomScaleNormal="100" zoomScaleSheetLayoutView="70" workbookViewId="0">
      <selection sqref="A1:B1"/>
    </sheetView>
  </sheetViews>
  <sheetFormatPr defaultColWidth="9.1796875" defaultRowHeight="15.5" x14ac:dyDescent="0.35"/>
  <cols>
    <col min="1" max="1" width="5.7265625" style="126" customWidth="1"/>
    <col min="2" max="2" width="85.1796875" style="126" bestFit="1" customWidth="1"/>
    <col min="3" max="3" width="24.453125" style="126" customWidth="1"/>
    <col min="4" max="4" width="16" style="234" customWidth="1"/>
    <col min="5" max="5" width="10.54296875" style="234" customWidth="1"/>
    <col min="6" max="6" width="16.1796875" style="234" customWidth="1"/>
    <col min="7" max="7" width="3.453125" style="234" customWidth="1"/>
    <col min="8" max="8" width="16.26953125" style="234" customWidth="1"/>
    <col min="9" max="9" width="10.54296875" style="234" customWidth="1"/>
    <col min="10" max="10" width="16.26953125" style="234" customWidth="1"/>
    <col min="11" max="11" width="12.26953125" style="126" customWidth="1"/>
    <col min="12" max="12" width="11.453125" style="235" bestFit="1" customWidth="1"/>
    <col min="13" max="13" width="112.54296875" style="126" customWidth="1"/>
    <col min="14" max="16384" width="9.1796875" style="126"/>
  </cols>
  <sheetData>
    <row r="1" spans="1:13" s="119" customFormat="1" ht="76.5" thickBot="1" x14ac:dyDescent="0.45">
      <c r="A1" s="530" t="s">
        <v>1</v>
      </c>
      <c r="B1" s="530"/>
      <c r="C1" s="26" t="s">
        <v>2</v>
      </c>
      <c r="D1" s="26" t="s">
        <v>3</v>
      </c>
      <c r="E1" s="26" t="s">
        <v>4</v>
      </c>
      <c r="F1" s="26" t="s">
        <v>5</v>
      </c>
      <c r="G1" s="26"/>
      <c r="H1" s="26" t="s">
        <v>6</v>
      </c>
      <c r="I1" s="26" t="s">
        <v>4</v>
      </c>
      <c r="J1" s="26" t="s">
        <v>7</v>
      </c>
      <c r="K1" s="529" t="s">
        <v>8</v>
      </c>
      <c r="L1" s="529"/>
    </row>
    <row r="2" spans="1:13" s="61" customFormat="1" ht="16" thickTop="1" x14ac:dyDescent="0.35">
      <c r="A2" s="59"/>
      <c r="C2" s="39"/>
      <c r="D2" s="33" t="s">
        <v>9</v>
      </c>
      <c r="E2" s="33" t="s">
        <v>9</v>
      </c>
      <c r="F2" s="33" t="s">
        <v>9</v>
      </c>
      <c r="G2" s="81"/>
      <c r="H2" s="33" t="s">
        <v>9</v>
      </c>
      <c r="I2" s="33" t="s">
        <v>9</v>
      </c>
      <c r="J2" s="33" t="s">
        <v>9</v>
      </c>
      <c r="K2" s="21" t="s">
        <v>9</v>
      </c>
      <c r="L2" s="20" t="s">
        <v>10</v>
      </c>
    </row>
    <row r="3" spans="1:13" s="61" customFormat="1" ht="18.5" thickBot="1" x14ac:dyDescent="0.4">
      <c r="A3" s="59"/>
      <c r="B3" s="278" t="s">
        <v>998</v>
      </c>
      <c r="C3" s="39"/>
      <c r="D3" s="33"/>
      <c r="E3" s="33"/>
      <c r="F3" s="33"/>
      <c r="G3" s="81"/>
      <c r="H3" s="33"/>
      <c r="I3" s="33"/>
      <c r="J3" s="33"/>
      <c r="K3" s="40"/>
      <c r="L3" s="8"/>
    </row>
    <row r="4" spans="1:13" ht="16" thickTop="1" x14ac:dyDescent="0.35">
      <c r="A4" s="64"/>
      <c r="B4" s="232" t="s">
        <v>999</v>
      </c>
      <c r="C4" s="16"/>
      <c r="D4" s="103"/>
      <c r="E4" s="103"/>
      <c r="F4" s="103"/>
      <c r="G4" s="103"/>
      <c r="H4" s="103"/>
      <c r="I4" s="103"/>
      <c r="J4" s="103"/>
      <c r="K4" s="41"/>
      <c r="L4" s="8"/>
    </row>
    <row r="5" spans="1:13" x14ac:dyDescent="0.35">
      <c r="A5" s="64"/>
      <c r="B5" s="232"/>
      <c r="C5" s="16"/>
      <c r="D5" s="103"/>
      <c r="E5" s="103"/>
      <c r="F5" s="103"/>
      <c r="G5" s="103"/>
      <c r="H5" s="103"/>
      <c r="I5" s="103"/>
      <c r="J5" s="103"/>
      <c r="K5" s="41"/>
      <c r="L5" s="8"/>
    </row>
    <row r="6" spans="1:13" ht="17" thickBot="1" x14ac:dyDescent="0.4">
      <c r="A6" s="71"/>
      <c r="B6" s="288" t="s">
        <v>1000</v>
      </c>
      <c r="C6" s="16"/>
      <c r="D6" s="103"/>
      <c r="E6" s="103"/>
      <c r="F6" s="103"/>
      <c r="G6" s="103"/>
      <c r="H6" s="103"/>
      <c r="I6" s="103"/>
      <c r="J6" s="103"/>
      <c r="K6" s="9"/>
      <c r="L6" s="8"/>
    </row>
    <row r="7" spans="1:13" x14ac:dyDescent="0.35">
      <c r="A7" s="71">
        <v>1</v>
      </c>
      <c r="B7" s="68" t="s">
        <v>1001</v>
      </c>
      <c r="C7" s="16" t="s">
        <v>12</v>
      </c>
      <c r="D7" s="103">
        <v>1.25</v>
      </c>
      <c r="E7" s="103">
        <f>ROUND(D7*0.2,2)</f>
        <v>0.25</v>
      </c>
      <c r="F7" s="103">
        <f>D7+E7</f>
        <v>1.5</v>
      </c>
      <c r="G7" s="103"/>
      <c r="H7" s="103">
        <f>MROUND((D7*(1+Sheet1!$C$3)),0.1)+0.03</f>
        <v>1.33</v>
      </c>
      <c r="I7" s="103">
        <f>ROUND(H7*0.2,2)</f>
        <v>0.27</v>
      </c>
      <c r="J7" s="103">
        <f>H7+I7</f>
        <v>1.6</v>
      </c>
      <c r="K7" s="9">
        <f>J7-F7</f>
        <v>0.10000000000000009</v>
      </c>
      <c r="L7" s="8">
        <f>IF(F7="","NEW",K7/F7)</f>
        <v>6.6666666666666721E-2</v>
      </c>
    </row>
    <row r="8" spans="1:13" x14ac:dyDescent="0.35">
      <c r="A8" s="67">
        <f>+A7+1</f>
        <v>2</v>
      </c>
      <c r="B8" s="68" t="s">
        <v>1002</v>
      </c>
      <c r="C8" s="16" t="s">
        <v>12</v>
      </c>
      <c r="D8" s="103">
        <v>2.5</v>
      </c>
      <c r="E8" s="103">
        <f>ROUND(D8*0.2,2)</f>
        <v>0.5</v>
      </c>
      <c r="F8" s="103">
        <f>D8+E8</f>
        <v>3</v>
      </c>
      <c r="G8" s="103"/>
      <c r="H8" s="103">
        <f>MROUND((D8*(1+Sheet1!$C$3)),0.1)-0.02</f>
        <v>2.58</v>
      </c>
      <c r="I8" s="103">
        <f>ROUND(H8*0.2,2)</f>
        <v>0.52</v>
      </c>
      <c r="J8" s="103">
        <f>H8+I8</f>
        <v>3.1</v>
      </c>
      <c r="K8" s="9">
        <f>J8-F8</f>
        <v>0.10000000000000009</v>
      </c>
      <c r="L8" s="8">
        <f>IF(F8="","NEW",K8/F8)</f>
        <v>3.3333333333333361E-2</v>
      </c>
    </row>
    <row r="9" spans="1:13" x14ac:dyDescent="0.35">
      <c r="A9" s="67">
        <f>+A8+1</f>
        <v>3</v>
      </c>
      <c r="B9" s="68" t="s">
        <v>1003</v>
      </c>
      <c r="C9" s="16" t="s">
        <v>12</v>
      </c>
      <c r="D9" s="103">
        <v>1.67</v>
      </c>
      <c r="E9" s="103">
        <f>ROUND(D9*0.2,2)</f>
        <v>0.33</v>
      </c>
      <c r="F9" s="103">
        <f>D9+E9</f>
        <v>2</v>
      </c>
      <c r="G9" s="103"/>
      <c r="H9" s="103">
        <f>MROUND((D9*(1+Sheet1!$C$3)),0.1)+0.05</f>
        <v>1.7500000000000002</v>
      </c>
      <c r="I9" s="103">
        <f>ROUND(H9*0.2,2)</f>
        <v>0.35</v>
      </c>
      <c r="J9" s="103">
        <f>H9+I9</f>
        <v>2.1</v>
      </c>
      <c r="K9" s="9">
        <f>J9-F9</f>
        <v>0.10000000000000009</v>
      </c>
      <c r="L9" s="8">
        <f>IF(F9="","NEW",K9/F9)</f>
        <v>5.0000000000000044E-2</v>
      </c>
    </row>
    <row r="10" spans="1:13" x14ac:dyDescent="0.35">
      <c r="A10" s="67"/>
      <c r="B10" s="68"/>
      <c r="C10" s="16"/>
      <c r="D10" s="103"/>
      <c r="E10" s="103"/>
      <c r="F10" s="103"/>
      <c r="G10" s="103"/>
      <c r="H10" s="103"/>
      <c r="I10" s="103"/>
      <c r="J10" s="103"/>
      <c r="K10" s="9"/>
      <c r="L10" s="8"/>
    </row>
    <row r="11" spans="1:13" ht="17" thickBot="1" x14ac:dyDescent="0.4">
      <c r="A11" s="71"/>
      <c r="B11" s="288" t="s">
        <v>1007</v>
      </c>
      <c r="C11" s="16"/>
      <c r="D11" s="103"/>
      <c r="E11" s="103"/>
      <c r="F11" s="103"/>
      <c r="G11" s="103"/>
      <c r="H11" s="103"/>
      <c r="I11" s="103"/>
      <c r="J11" s="103"/>
      <c r="K11" s="9"/>
      <c r="L11" s="8"/>
    </row>
    <row r="12" spans="1:13" x14ac:dyDescent="0.35">
      <c r="A12" s="67">
        <f>A9+1</f>
        <v>4</v>
      </c>
      <c r="B12" s="68" t="s">
        <v>1004</v>
      </c>
      <c r="C12" s="16" t="s">
        <v>12</v>
      </c>
      <c r="D12" s="103">
        <v>7.5</v>
      </c>
      <c r="E12" s="103"/>
      <c r="F12" s="103">
        <f>D12+E12</f>
        <v>7.5</v>
      </c>
      <c r="G12" s="103"/>
      <c r="H12" s="103">
        <f>MROUND((D12*(1+Sheet1!$C$3)),0.1)</f>
        <v>7.7</v>
      </c>
      <c r="I12" s="103"/>
      <c r="J12" s="103">
        <f>H12+I12</f>
        <v>7.7</v>
      </c>
      <c r="K12" s="9">
        <f>J12-F12</f>
        <v>0.20000000000000018</v>
      </c>
      <c r="L12" s="8">
        <f>IF(F12="","NEW",K12/F12)</f>
        <v>2.6666666666666689E-2</v>
      </c>
    </row>
    <row r="13" spans="1:13" x14ac:dyDescent="0.35">
      <c r="A13" s="67">
        <f>+A12+1</f>
        <v>5</v>
      </c>
      <c r="B13" s="68" t="s">
        <v>1005</v>
      </c>
      <c r="C13" s="16" t="s">
        <v>12</v>
      </c>
      <c r="D13" s="103">
        <v>4</v>
      </c>
      <c r="E13" s="103"/>
      <c r="F13" s="103">
        <f>D13+E13</f>
        <v>4</v>
      </c>
      <c r="G13" s="103"/>
      <c r="H13" s="103">
        <f>MROUND((D13*(1+Sheet1!$C$3)),0.1)</f>
        <v>4.1000000000000005</v>
      </c>
      <c r="I13" s="103"/>
      <c r="J13" s="103">
        <f>H13+I13</f>
        <v>4.1000000000000005</v>
      </c>
      <c r="K13" s="9">
        <f>J13-F13</f>
        <v>0.10000000000000053</v>
      </c>
      <c r="L13" s="8">
        <f>IF(F13="","NEW",K13/F13)</f>
        <v>2.5000000000000133E-2</v>
      </c>
    </row>
    <row r="14" spans="1:13" x14ac:dyDescent="0.35">
      <c r="A14" s="67">
        <f>+A13+1</f>
        <v>6</v>
      </c>
      <c r="B14" s="68" t="s">
        <v>1006</v>
      </c>
      <c r="C14" s="16" t="s">
        <v>12</v>
      </c>
      <c r="D14" s="103">
        <v>19</v>
      </c>
      <c r="E14" s="103"/>
      <c r="F14" s="103">
        <f>D14+E14</f>
        <v>19</v>
      </c>
      <c r="G14" s="103"/>
      <c r="H14" s="103">
        <f>MROUND((D14*(1+Sheet1!$C$3)),0.1)</f>
        <v>19.5</v>
      </c>
      <c r="I14" s="103"/>
      <c r="J14" s="103">
        <f>H14+I14</f>
        <v>19.5</v>
      </c>
      <c r="K14" s="9">
        <f>J14-F14</f>
        <v>0.5</v>
      </c>
      <c r="L14" s="8">
        <f>IF(F14="","NEW",K14/F14)</f>
        <v>2.6315789473684209E-2</v>
      </c>
    </row>
    <row r="15" spans="1:13" x14ac:dyDescent="0.35">
      <c r="A15" s="67"/>
      <c r="B15" s="68"/>
      <c r="C15" s="16"/>
      <c r="D15" s="103"/>
      <c r="E15" s="103"/>
      <c r="F15" s="103"/>
      <c r="G15" s="103"/>
      <c r="H15" s="103"/>
      <c r="I15" s="103"/>
      <c r="J15" s="103"/>
      <c r="K15" s="9"/>
      <c r="L15" s="8"/>
    </row>
    <row r="16" spans="1:13" x14ac:dyDescent="0.35">
      <c r="A16" s="67">
        <f>A14+1</f>
        <v>7</v>
      </c>
      <c r="B16" s="68" t="s">
        <v>1008</v>
      </c>
      <c r="C16" s="16" t="s">
        <v>12</v>
      </c>
      <c r="D16" s="40">
        <v>20</v>
      </c>
      <c r="E16" s="40"/>
      <c r="F16" s="40">
        <f>D16+E16</f>
        <v>20</v>
      </c>
      <c r="G16" s="40"/>
      <c r="H16" s="40">
        <f>MROUND((D16*(1+Sheet1!$C$3)),0.1)+0.4</f>
        <v>21</v>
      </c>
      <c r="I16" s="40"/>
      <c r="J16" s="40">
        <f>H16+I16</f>
        <v>21</v>
      </c>
      <c r="K16" s="9">
        <f>J16-F16</f>
        <v>1</v>
      </c>
      <c r="L16" s="8">
        <f>IF(F16="","NEW",K16/F16)</f>
        <v>0.05</v>
      </c>
      <c r="M16" s="337"/>
    </row>
    <row r="17" spans="1:12" x14ac:dyDescent="0.35">
      <c r="A17" s="67"/>
      <c r="B17" s="68"/>
      <c r="C17" s="16"/>
      <c r="D17" s="103"/>
      <c r="E17" s="103"/>
      <c r="F17" s="103"/>
      <c r="G17" s="103"/>
      <c r="H17" s="103"/>
      <c r="I17" s="103"/>
      <c r="J17" s="103"/>
      <c r="K17" s="9"/>
      <c r="L17" s="8"/>
    </row>
    <row r="18" spans="1:12" ht="17" thickBot="1" x14ac:dyDescent="0.4">
      <c r="A18" s="67"/>
      <c r="B18" s="288" t="s">
        <v>1009</v>
      </c>
      <c r="C18" s="16"/>
      <c r="D18" s="103"/>
      <c r="E18" s="103"/>
      <c r="F18" s="103"/>
      <c r="G18" s="103"/>
      <c r="H18" s="103"/>
      <c r="I18" s="103"/>
      <c r="J18" s="103"/>
      <c r="K18" s="9"/>
      <c r="L18" s="8"/>
    </row>
    <row r="19" spans="1:12" x14ac:dyDescent="0.35">
      <c r="A19" s="67">
        <f>A16+1</f>
        <v>8</v>
      </c>
      <c r="B19" s="68" t="s">
        <v>1010</v>
      </c>
      <c r="C19" s="16" t="s">
        <v>12</v>
      </c>
      <c r="D19" s="103"/>
      <c r="E19" s="103"/>
      <c r="F19" s="103"/>
      <c r="G19" s="103"/>
      <c r="H19" s="103"/>
      <c r="I19" s="103"/>
      <c r="J19" s="103"/>
      <c r="K19" s="9"/>
      <c r="L19" s="8"/>
    </row>
    <row r="20" spans="1:12" x14ac:dyDescent="0.35">
      <c r="A20" s="67"/>
      <c r="B20" s="70"/>
      <c r="C20" s="16"/>
      <c r="D20" s="103"/>
      <c r="E20" s="103"/>
      <c r="F20" s="103"/>
      <c r="G20" s="103"/>
      <c r="H20" s="103"/>
      <c r="I20" s="103"/>
      <c r="J20" s="103"/>
      <c r="K20" s="9"/>
      <c r="L20" s="8"/>
    </row>
    <row r="21" spans="1:12" ht="17" thickBot="1" x14ac:dyDescent="0.4">
      <c r="A21" s="67"/>
      <c r="B21" s="264" t="s">
        <v>1011</v>
      </c>
      <c r="C21" s="16"/>
      <c r="D21" s="103"/>
      <c r="E21" s="103"/>
      <c r="F21" s="103"/>
      <c r="G21" s="103"/>
      <c r="H21" s="103"/>
      <c r="I21" s="103"/>
      <c r="J21" s="103"/>
      <c r="K21" s="9"/>
      <c r="L21" s="8"/>
    </row>
    <row r="22" spans="1:12" x14ac:dyDescent="0.35">
      <c r="A22" s="67">
        <f>A19+1</f>
        <v>9</v>
      </c>
      <c r="B22" s="70" t="s">
        <v>1004</v>
      </c>
      <c r="C22" s="16" t="s">
        <v>12</v>
      </c>
      <c r="D22" s="103">
        <v>8.33</v>
      </c>
      <c r="E22" s="103">
        <f>ROUND(D22*0.2,2)</f>
        <v>1.67</v>
      </c>
      <c r="F22" s="103">
        <f>D22+E22</f>
        <v>10</v>
      </c>
      <c r="G22" s="103"/>
      <c r="H22" s="103">
        <f>MROUND((D22*(1+Sheet1!$C$3)),0.1)+0.15</f>
        <v>8.75</v>
      </c>
      <c r="I22" s="103">
        <f>ROUND(H22*0.2,2)</f>
        <v>1.75</v>
      </c>
      <c r="J22" s="103">
        <f>H22+I22</f>
        <v>10.5</v>
      </c>
      <c r="K22" s="9">
        <f>J22-F22</f>
        <v>0.5</v>
      </c>
      <c r="L22" s="8">
        <f>IF(F22="","NEW",K22/F22)</f>
        <v>0.05</v>
      </c>
    </row>
    <row r="23" spans="1:12" x14ac:dyDescent="0.35">
      <c r="A23" s="67">
        <f>+A22+1</f>
        <v>10</v>
      </c>
      <c r="B23" s="70" t="s">
        <v>1005</v>
      </c>
      <c r="C23" s="16" t="s">
        <v>12</v>
      </c>
      <c r="D23" s="103">
        <v>4.17</v>
      </c>
      <c r="E23" s="103">
        <f>ROUND(D23*0.2,2)</f>
        <v>0.83</v>
      </c>
      <c r="F23" s="103">
        <f>D23+E23</f>
        <v>5</v>
      </c>
      <c r="G23" s="103"/>
      <c r="H23" s="103">
        <f>MROUND((D23*(1+Sheet1!$C$3)),0.1)+0.28</f>
        <v>4.58</v>
      </c>
      <c r="I23" s="103">
        <f>ROUND(H23*0.2,2)</f>
        <v>0.92</v>
      </c>
      <c r="J23" s="103">
        <f>H23+I23</f>
        <v>5.5</v>
      </c>
      <c r="K23" s="9">
        <f>J23-F23</f>
        <v>0.5</v>
      </c>
      <c r="L23" s="8">
        <f>IF(F23="","NEW",K23/F23)</f>
        <v>0.1</v>
      </c>
    </row>
    <row r="24" spans="1:12" x14ac:dyDescent="0.35">
      <c r="A24" s="67">
        <f>+A23+1</f>
        <v>11</v>
      </c>
      <c r="B24" s="70" t="s">
        <v>1012</v>
      </c>
      <c r="C24" s="16" t="s">
        <v>12</v>
      </c>
      <c r="D24" s="103">
        <v>4.17</v>
      </c>
      <c r="E24" s="103">
        <f>ROUND(D24*0.2,2)</f>
        <v>0.83</v>
      </c>
      <c r="F24" s="103">
        <f>D24+E24</f>
        <v>5</v>
      </c>
      <c r="G24" s="103"/>
      <c r="H24" s="103">
        <f>MROUND((D24*(1+Sheet1!$C$3)),0.1)+0.03</f>
        <v>4.33</v>
      </c>
      <c r="I24" s="103">
        <f>ROUND(H24*0.2,2)</f>
        <v>0.87</v>
      </c>
      <c r="J24" s="103">
        <f>H24+I24</f>
        <v>5.2</v>
      </c>
      <c r="K24" s="9">
        <f>J24-F24</f>
        <v>0.20000000000000018</v>
      </c>
      <c r="L24" s="8">
        <f>IF(F24="","NEW",K24/F24)</f>
        <v>4.0000000000000036E-2</v>
      </c>
    </row>
    <row r="25" spans="1:12" x14ac:dyDescent="0.35">
      <c r="A25" s="67"/>
      <c r="B25" s="70"/>
      <c r="C25" s="16"/>
      <c r="D25" s="103"/>
      <c r="E25" s="103"/>
      <c r="F25" s="103"/>
      <c r="G25" s="103"/>
      <c r="H25" s="103"/>
      <c r="I25" s="103"/>
      <c r="J25" s="103"/>
      <c r="K25" s="9"/>
      <c r="L25" s="8"/>
    </row>
    <row r="26" spans="1:12" ht="17" thickBot="1" x14ac:dyDescent="0.4">
      <c r="A26" s="67"/>
      <c r="B26" s="264" t="s">
        <v>1013</v>
      </c>
      <c r="C26" s="16"/>
      <c r="D26" s="103"/>
      <c r="E26" s="103"/>
      <c r="F26" s="103"/>
      <c r="G26" s="103"/>
      <c r="H26" s="103"/>
      <c r="I26" s="103"/>
      <c r="J26" s="103"/>
      <c r="K26" s="9"/>
      <c r="L26" s="8"/>
    </row>
    <row r="27" spans="1:12" x14ac:dyDescent="0.35">
      <c r="A27" s="67">
        <f>+A24+1</f>
        <v>12</v>
      </c>
      <c r="B27" s="70" t="s">
        <v>1014</v>
      </c>
      <c r="C27" s="16" t="s">
        <v>12</v>
      </c>
      <c r="D27" s="103">
        <v>104.17</v>
      </c>
      <c r="E27" s="103">
        <f t="shared" ref="E27:E32" si="0">ROUND(D27*0.2,2)</f>
        <v>20.83</v>
      </c>
      <c r="F27" s="103">
        <f t="shared" ref="F27:F32" si="1">D27+E27</f>
        <v>125</v>
      </c>
      <c r="G27" s="103"/>
      <c r="H27" s="103">
        <f>MROUND((D27*(1+Sheet1!$C$3)),0.1)+1.33</f>
        <v>108.33</v>
      </c>
      <c r="I27" s="103">
        <f t="shared" ref="I27:I32" si="2">ROUND(H27*0.2,2)</f>
        <v>21.67</v>
      </c>
      <c r="J27" s="103">
        <f t="shared" ref="J27:J32" si="3">H27+I27</f>
        <v>130</v>
      </c>
      <c r="K27" s="9">
        <f t="shared" ref="K27:K32" si="4">J27-F27</f>
        <v>5</v>
      </c>
      <c r="L27" s="8">
        <f t="shared" ref="L27:L32" si="5">IF(F27="","NEW",K27/F27)</f>
        <v>0.04</v>
      </c>
    </row>
    <row r="28" spans="1:12" x14ac:dyDescent="0.35">
      <c r="A28" s="67">
        <f>+A27+1</f>
        <v>13</v>
      </c>
      <c r="B28" s="70" t="s">
        <v>1015</v>
      </c>
      <c r="C28" s="16" t="s">
        <v>12</v>
      </c>
      <c r="D28" s="103">
        <v>52.5</v>
      </c>
      <c r="E28" s="103">
        <f t="shared" si="0"/>
        <v>10.5</v>
      </c>
      <c r="F28" s="103">
        <f t="shared" si="1"/>
        <v>63</v>
      </c>
      <c r="G28" s="103"/>
      <c r="H28" s="103">
        <f>MROUND((D28*(1+Sheet1!$C$3)),0.1)+0.27</f>
        <v>54.170000000000009</v>
      </c>
      <c r="I28" s="103">
        <f t="shared" si="2"/>
        <v>10.83</v>
      </c>
      <c r="J28" s="103">
        <f>H28+I28</f>
        <v>65.000000000000014</v>
      </c>
      <c r="K28" s="9">
        <f t="shared" si="4"/>
        <v>2.0000000000000142</v>
      </c>
      <c r="L28" s="8">
        <f t="shared" si="5"/>
        <v>3.1746031746031973E-2</v>
      </c>
    </row>
    <row r="29" spans="1:12" x14ac:dyDescent="0.35">
      <c r="A29" s="67">
        <f>+A28+1</f>
        <v>14</v>
      </c>
      <c r="B29" s="70" t="s">
        <v>1016</v>
      </c>
      <c r="C29" s="16" t="s">
        <v>12</v>
      </c>
      <c r="D29" s="103">
        <v>104.17</v>
      </c>
      <c r="E29" s="103">
        <f t="shared" si="0"/>
        <v>20.83</v>
      </c>
      <c r="F29" s="103">
        <f t="shared" si="1"/>
        <v>125</v>
      </c>
      <c r="G29" s="103"/>
      <c r="H29" s="103">
        <f>MROUND((D29*(1+Sheet1!$C$3)),0.1)+1.33</f>
        <v>108.33</v>
      </c>
      <c r="I29" s="103">
        <f t="shared" si="2"/>
        <v>21.67</v>
      </c>
      <c r="J29" s="103">
        <f t="shared" si="3"/>
        <v>130</v>
      </c>
      <c r="K29" s="9">
        <f t="shared" si="4"/>
        <v>5</v>
      </c>
      <c r="L29" s="8">
        <f t="shared" si="5"/>
        <v>0.04</v>
      </c>
    </row>
    <row r="30" spans="1:12" x14ac:dyDescent="0.35">
      <c r="A30" s="67">
        <f>+A29+1</f>
        <v>15</v>
      </c>
      <c r="B30" s="70" t="s">
        <v>1017</v>
      </c>
      <c r="C30" s="16" t="s">
        <v>12</v>
      </c>
      <c r="D30" s="103">
        <v>52.5</v>
      </c>
      <c r="E30" s="103">
        <f t="shared" si="0"/>
        <v>10.5</v>
      </c>
      <c r="F30" s="103">
        <f t="shared" si="1"/>
        <v>63</v>
      </c>
      <c r="G30" s="103"/>
      <c r="H30" s="103">
        <f>MROUND((D30*(1+Sheet1!$C$3)),0.1)+0.27</f>
        <v>54.170000000000009</v>
      </c>
      <c r="I30" s="103">
        <f t="shared" si="2"/>
        <v>10.83</v>
      </c>
      <c r="J30" s="103">
        <f t="shared" si="3"/>
        <v>65.000000000000014</v>
      </c>
      <c r="K30" s="9">
        <f t="shared" si="4"/>
        <v>2.0000000000000142</v>
      </c>
      <c r="L30" s="8">
        <f t="shared" si="5"/>
        <v>3.1746031746031973E-2</v>
      </c>
    </row>
    <row r="31" spans="1:12" x14ac:dyDescent="0.35">
      <c r="A31" s="67">
        <f>+A30+1</f>
        <v>16</v>
      </c>
      <c r="B31" s="70" t="s">
        <v>1018</v>
      </c>
      <c r="C31" s="16" t="s">
        <v>12</v>
      </c>
      <c r="D31" s="103">
        <v>175</v>
      </c>
      <c r="E31" s="103">
        <f t="shared" si="0"/>
        <v>35</v>
      </c>
      <c r="F31" s="103">
        <f t="shared" si="1"/>
        <v>210</v>
      </c>
      <c r="G31" s="103"/>
      <c r="H31" s="103">
        <f>MROUND((D31*(1+Sheet1!$C$3)),0.1)-0.63</f>
        <v>179.17000000000002</v>
      </c>
      <c r="I31" s="103">
        <f t="shared" si="2"/>
        <v>35.83</v>
      </c>
      <c r="J31" s="103">
        <f t="shared" si="3"/>
        <v>215</v>
      </c>
      <c r="K31" s="9">
        <f t="shared" si="4"/>
        <v>5</v>
      </c>
      <c r="L31" s="8">
        <f t="shared" si="5"/>
        <v>2.3809523809523808E-2</v>
      </c>
    </row>
    <row r="32" spans="1:12" x14ac:dyDescent="0.35">
      <c r="A32" s="67">
        <f>+A31+1</f>
        <v>17</v>
      </c>
      <c r="B32" s="70" t="s">
        <v>1019</v>
      </c>
      <c r="C32" s="16" t="s">
        <v>12</v>
      </c>
      <c r="D32" s="103">
        <v>87.5</v>
      </c>
      <c r="E32" s="103">
        <f t="shared" si="0"/>
        <v>17.5</v>
      </c>
      <c r="F32" s="103">
        <f t="shared" si="1"/>
        <v>105</v>
      </c>
      <c r="G32" s="103"/>
      <c r="H32" s="103">
        <f>MROUND((D32*(1+Sheet1!$C$3)),0.1)+0.1</f>
        <v>90</v>
      </c>
      <c r="I32" s="103">
        <f t="shared" si="2"/>
        <v>18</v>
      </c>
      <c r="J32" s="103">
        <f t="shared" si="3"/>
        <v>108</v>
      </c>
      <c r="K32" s="9">
        <f t="shared" si="4"/>
        <v>3</v>
      </c>
      <c r="L32" s="8">
        <f t="shared" si="5"/>
        <v>2.8571428571428571E-2</v>
      </c>
    </row>
    <row r="33" spans="1:12" x14ac:dyDescent="0.35">
      <c r="A33" s="67"/>
      <c r="B33" s="70"/>
      <c r="C33" s="16"/>
      <c r="D33" s="103"/>
      <c r="E33" s="103"/>
      <c r="F33" s="103"/>
      <c r="G33" s="103"/>
      <c r="H33" s="103"/>
      <c r="I33" s="103"/>
      <c r="J33" s="103"/>
      <c r="K33" s="9"/>
      <c r="L33" s="8"/>
    </row>
    <row r="34" spans="1:12" ht="17" thickBot="1" x14ac:dyDescent="0.4">
      <c r="A34" s="67"/>
      <c r="B34" s="264" t="s">
        <v>1020</v>
      </c>
      <c r="C34" s="16"/>
      <c r="D34" s="103"/>
      <c r="E34" s="103"/>
      <c r="F34" s="103"/>
      <c r="G34" s="103"/>
      <c r="H34" s="103"/>
      <c r="I34" s="103"/>
      <c r="J34" s="103"/>
      <c r="K34" s="9"/>
      <c r="L34" s="8"/>
    </row>
    <row r="35" spans="1:12" x14ac:dyDescent="0.35">
      <c r="A35" s="67">
        <f>+A32+1</f>
        <v>18</v>
      </c>
      <c r="B35" s="70" t="s">
        <v>1004</v>
      </c>
      <c r="C35" s="16" t="s">
        <v>12</v>
      </c>
      <c r="D35" s="103">
        <v>104.17</v>
      </c>
      <c r="E35" s="103">
        <f>ROUND(D35*0.2,2)</f>
        <v>20.83</v>
      </c>
      <c r="F35" s="103">
        <f>D35+E35</f>
        <v>125</v>
      </c>
      <c r="G35" s="103"/>
      <c r="H35" s="103">
        <f>MROUND((D35*(1+Sheet1!$C$3)),0.1)+1.33</f>
        <v>108.33</v>
      </c>
      <c r="I35" s="103">
        <f>ROUND(H35*0.2,2)</f>
        <v>21.67</v>
      </c>
      <c r="J35" s="103">
        <f>H35+I35</f>
        <v>130</v>
      </c>
      <c r="K35" s="9">
        <f>J35-F35</f>
        <v>5</v>
      </c>
      <c r="L35" s="8">
        <f>IF(F35="","NEW",K35/F35)</f>
        <v>0.04</v>
      </c>
    </row>
    <row r="36" spans="1:12" x14ac:dyDescent="0.35">
      <c r="A36" s="67">
        <f>+A35+1</f>
        <v>19</v>
      </c>
      <c r="B36" s="70" t="s">
        <v>1021</v>
      </c>
      <c r="C36" s="16" t="s">
        <v>12</v>
      </c>
      <c r="D36" s="103">
        <v>52.5</v>
      </c>
      <c r="E36" s="103">
        <f>ROUND(D36*0.2,2)</f>
        <v>10.5</v>
      </c>
      <c r="F36" s="103">
        <f>D36+E36</f>
        <v>63</v>
      </c>
      <c r="G36" s="40"/>
      <c r="H36" s="103">
        <f>MROUND((D36*(1+Sheet1!$C$3)),0.1)+0.27</f>
        <v>54.170000000000009</v>
      </c>
      <c r="I36" s="103">
        <f>ROUND(H36*0.2,2)</f>
        <v>10.83</v>
      </c>
      <c r="J36" s="103">
        <f>H36+I36</f>
        <v>65.000000000000014</v>
      </c>
      <c r="K36" s="9">
        <f>J36-F36</f>
        <v>2.0000000000000142</v>
      </c>
      <c r="L36" s="8">
        <f>IF(F36="","NEW",K36/F36)</f>
        <v>3.1746031746031973E-2</v>
      </c>
    </row>
    <row r="37" spans="1:12" x14ac:dyDescent="0.35">
      <c r="A37" s="67"/>
      <c r="B37" s="70"/>
      <c r="C37" s="16"/>
      <c r="D37" s="103"/>
      <c r="E37" s="103"/>
      <c r="F37" s="103"/>
      <c r="G37" s="40"/>
      <c r="H37" s="103"/>
      <c r="I37" s="103"/>
      <c r="J37" s="103"/>
      <c r="K37" s="9"/>
      <c r="L37" s="8"/>
    </row>
    <row r="38" spans="1:12" ht="17" thickBot="1" x14ac:dyDescent="0.4">
      <c r="A38" s="67"/>
      <c r="B38" s="264" t="s">
        <v>1519</v>
      </c>
      <c r="C38" s="16"/>
      <c r="D38" s="103"/>
      <c r="E38" s="103"/>
      <c r="F38" s="103"/>
      <c r="G38" s="103"/>
      <c r="H38" s="103"/>
      <c r="I38" s="103"/>
      <c r="J38" s="103"/>
      <c r="K38" s="9"/>
      <c r="L38" s="8"/>
    </row>
    <row r="39" spans="1:12" x14ac:dyDescent="0.35">
      <c r="A39" s="67">
        <f>+A36+1</f>
        <v>20</v>
      </c>
      <c r="B39" s="70" t="s">
        <v>1521</v>
      </c>
      <c r="C39" s="16" t="s">
        <v>12</v>
      </c>
      <c r="D39" s="103"/>
      <c r="E39" s="103"/>
      <c r="F39" s="103"/>
      <c r="G39" s="103"/>
      <c r="H39" s="103">
        <v>200</v>
      </c>
      <c r="I39" s="103"/>
      <c r="J39" s="103">
        <f>H39+I39</f>
        <v>200</v>
      </c>
      <c r="K39" s="9"/>
      <c r="L39" s="8" t="str">
        <f>IF(F39="","NEW",K39/F39)</f>
        <v>NEW</v>
      </c>
    </row>
    <row r="40" spans="1:12" x14ac:dyDescent="0.35">
      <c r="A40" s="67">
        <f>+A39+1</f>
        <v>21</v>
      </c>
      <c r="B40" s="70" t="s">
        <v>1520</v>
      </c>
      <c r="C40" s="16" t="s">
        <v>12</v>
      </c>
      <c r="D40" s="103"/>
      <c r="E40" s="103"/>
      <c r="F40" s="103"/>
      <c r="G40" s="40"/>
      <c r="H40" s="103">
        <v>300</v>
      </c>
      <c r="I40" s="103"/>
      <c r="J40" s="103">
        <f>H40+I40</f>
        <v>300</v>
      </c>
      <c r="K40" s="9"/>
      <c r="L40" s="8" t="str">
        <f>IF(F40="","NEW",K40/F40)</f>
        <v>NEW</v>
      </c>
    </row>
    <row r="41" spans="1:12" x14ac:dyDescent="0.35">
      <c r="A41" s="67"/>
      <c r="B41" s="70"/>
      <c r="C41" s="16"/>
      <c r="D41" s="103"/>
      <c r="E41" s="103"/>
      <c r="F41" s="103"/>
      <c r="G41" s="103"/>
      <c r="H41" s="103"/>
      <c r="I41" s="103"/>
      <c r="J41" s="103"/>
      <c r="K41" s="9"/>
      <c r="L41" s="8"/>
    </row>
    <row r="42" spans="1:12" ht="18.5" thickBot="1" x14ac:dyDescent="0.4">
      <c r="A42" s="67"/>
      <c r="B42" s="269" t="s">
        <v>1022</v>
      </c>
      <c r="C42" s="16"/>
      <c r="D42" s="103"/>
      <c r="E42" s="103"/>
      <c r="F42" s="103"/>
      <c r="G42" s="103"/>
      <c r="H42" s="103"/>
      <c r="I42" s="103"/>
      <c r="J42" s="103"/>
      <c r="K42" s="9"/>
      <c r="L42" s="8"/>
    </row>
    <row r="43" spans="1:12" ht="17.5" thickTop="1" thickBot="1" x14ac:dyDescent="0.4">
      <c r="A43" s="67"/>
      <c r="B43" s="264" t="s">
        <v>1023</v>
      </c>
      <c r="C43" s="16"/>
      <c r="D43" s="103"/>
      <c r="E43" s="103"/>
      <c r="F43" s="103"/>
      <c r="G43" s="103"/>
      <c r="H43" s="103"/>
      <c r="I43" s="103"/>
      <c r="J43" s="103"/>
      <c r="K43" s="9"/>
      <c r="L43" s="8"/>
    </row>
    <row r="44" spans="1:12" x14ac:dyDescent="0.35">
      <c r="A44" s="67">
        <f>A40+1</f>
        <v>22</v>
      </c>
      <c r="B44" s="70" t="s">
        <v>1024</v>
      </c>
      <c r="C44" s="16" t="s">
        <v>12</v>
      </c>
      <c r="D44" s="103">
        <v>29.17</v>
      </c>
      <c r="E44" s="103">
        <f>ROUND(D44*0.2,2)</f>
        <v>5.83</v>
      </c>
      <c r="F44" s="103">
        <f>D44+E44</f>
        <v>35</v>
      </c>
      <c r="G44" s="103"/>
      <c r="H44" s="103">
        <f>MROUND((D44*(1+Sheet1!$C$3)),0.1)</f>
        <v>30</v>
      </c>
      <c r="I44" s="103">
        <f>ROUND(H44*0.2,2)</f>
        <v>6</v>
      </c>
      <c r="J44" s="103">
        <f>H44+I44</f>
        <v>36</v>
      </c>
      <c r="K44" s="9">
        <f>J44-F44</f>
        <v>1</v>
      </c>
      <c r="L44" s="8">
        <f>IF(F44="","NEW",K44/F44)</f>
        <v>2.8571428571428571E-2</v>
      </c>
    </row>
    <row r="45" spans="1:12" x14ac:dyDescent="0.35">
      <c r="A45" s="67">
        <f>+A44+1</f>
        <v>23</v>
      </c>
      <c r="B45" s="70" t="s">
        <v>1025</v>
      </c>
      <c r="C45" s="16" t="s">
        <v>12</v>
      </c>
      <c r="D45" s="103">
        <v>51.67</v>
      </c>
      <c r="E45" s="103">
        <f>ROUND(D45*0.2,2)</f>
        <v>10.33</v>
      </c>
      <c r="F45" s="103">
        <f>D45+E45</f>
        <v>62</v>
      </c>
      <c r="G45" s="103"/>
      <c r="H45" s="103">
        <f>MROUND((D45*(1+Sheet1!$C$3)),0.1)+0.23</f>
        <v>53.33</v>
      </c>
      <c r="I45" s="103">
        <f>ROUND(H45*0.2,2)</f>
        <v>10.67</v>
      </c>
      <c r="J45" s="103">
        <f>H45+I45</f>
        <v>64</v>
      </c>
      <c r="K45" s="9">
        <f>J45-F45</f>
        <v>2</v>
      </c>
      <c r="L45" s="8">
        <f>IF(F45="","NEW",K45/F45)</f>
        <v>3.2258064516129031E-2</v>
      </c>
    </row>
    <row r="46" spans="1:12" x14ac:dyDescent="0.35">
      <c r="A46" s="67">
        <f>+A45+1</f>
        <v>24</v>
      </c>
      <c r="B46" s="70" t="s">
        <v>1026</v>
      </c>
      <c r="C46" s="16" t="s">
        <v>12</v>
      </c>
      <c r="D46" s="103">
        <v>98.33</v>
      </c>
      <c r="E46" s="103">
        <f>ROUND(D46*0.2,2)</f>
        <v>19.670000000000002</v>
      </c>
      <c r="F46" s="103">
        <f>D46+E46</f>
        <v>118</v>
      </c>
      <c r="G46" s="103"/>
      <c r="H46" s="103">
        <f>MROUND((D46*(1+Sheet1!$C$3)),0.1)+3.17</f>
        <v>104.17</v>
      </c>
      <c r="I46" s="103">
        <f>ROUND(H46*0.2,2)</f>
        <v>20.83</v>
      </c>
      <c r="J46" s="103">
        <f>H46+I46</f>
        <v>125</v>
      </c>
      <c r="K46" s="9">
        <f>J46-F46</f>
        <v>7</v>
      </c>
      <c r="L46" s="8">
        <f>IF(F46="","NEW",K46/F46)</f>
        <v>5.9322033898305086E-2</v>
      </c>
    </row>
    <row r="47" spans="1:12" x14ac:dyDescent="0.35">
      <c r="A47" s="67"/>
      <c r="B47" s="70"/>
      <c r="C47" s="16"/>
      <c r="D47" s="103"/>
      <c r="E47" s="103"/>
      <c r="F47" s="103"/>
      <c r="G47" s="103"/>
      <c r="H47" s="103"/>
      <c r="I47" s="103"/>
      <c r="J47" s="103"/>
      <c r="K47" s="9"/>
      <c r="L47" s="8"/>
    </row>
    <row r="48" spans="1:12" ht="17" thickBot="1" x14ac:dyDescent="0.4">
      <c r="A48" s="67"/>
      <c r="B48" s="264" t="s">
        <v>1027</v>
      </c>
      <c r="C48" s="16"/>
      <c r="D48" s="103"/>
      <c r="E48" s="103"/>
      <c r="F48" s="103"/>
      <c r="G48" s="103"/>
      <c r="H48" s="103"/>
      <c r="I48" s="103"/>
      <c r="J48" s="103"/>
      <c r="K48" s="9"/>
      <c r="L48" s="8"/>
    </row>
    <row r="49" spans="1:12" x14ac:dyDescent="0.35">
      <c r="A49" s="67">
        <f>+A46+1</f>
        <v>25</v>
      </c>
      <c r="B49" s="70" t="s">
        <v>1028</v>
      </c>
      <c r="C49" s="16" t="s">
        <v>12</v>
      </c>
      <c r="D49" s="103">
        <v>51.67</v>
      </c>
      <c r="E49" s="103">
        <f>ROUND(D49*0.2,2)</f>
        <v>10.33</v>
      </c>
      <c r="F49" s="103">
        <f>D49+E49</f>
        <v>62</v>
      </c>
      <c r="G49" s="103"/>
      <c r="H49" s="103">
        <f>MROUND((D49*(1+Sheet1!$C$3)),0.1)+0.23</f>
        <v>53.33</v>
      </c>
      <c r="I49" s="103">
        <f>ROUND(H49*0.2,2)</f>
        <v>10.67</v>
      </c>
      <c r="J49" s="103">
        <f>H49+I49</f>
        <v>64</v>
      </c>
      <c r="K49" s="9">
        <f>J49-F49</f>
        <v>2</v>
      </c>
      <c r="L49" s="8">
        <f>IF(F49="","NEW",K49/F49)</f>
        <v>3.2258064516129031E-2</v>
      </c>
    </row>
    <row r="50" spans="1:12" x14ac:dyDescent="0.35">
      <c r="A50" s="67">
        <f>+A49+1</f>
        <v>26</v>
      </c>
      <c r="B50" s="70" t="s">
        <v>1029</v>
      </c>
      <c r="C50" s="16" t="s">
        <v>12</v>
      </c>
      <c r="D50" s="103">
        <v>98.33</v>
      </c>
      <c r="E50" s="103">
        <f>ROUND(D50*0.2,2)</f>
        <v>19.670000000000002</v>
      </c>
      <c r="F50" s="103">
        <f>D50+E50</f>
        <v>118</v>
      </c>
      <c r="G50" s="40"/>
      <c r="H50" s="103">
        <f>MROUND((D50*(1+Sheet1!$C$3)),0.1)+3.17</f>
        <v>104.17</v>
      </c>
      <c r="I50" s="103">
        <f>ROUND(H50*0.2,2)</f>
        <v>20.83</v>
      </c>
      <c r="J50" s="103">
        <f>H50+I50</f>
        <v>125</v>
      </c>
      <c r="K50" s="9">
        <f>J50-F50</f>
        <v>7</v>
      </c>
      <c r="L50" s="8">
        <f>IF(F50="","NEW",K50/F50)</f>
        <v>5.9322033898305086E-2</v>
      </c>
    </row>
    <row r="51" spans="1:12" x14ac:dyDescent="0.35">
      <c r="A51" s="67"/>
      <c r="B51" s="70"/>
      <c r="C51" s="16"/>
      <c r="D51" s="103"/>
      <c r="E51" s="103"/>
      <c r="F51" s="103"/>
      <c r="G51" s="103"/>
      <c r="H51" s="103"/>
      <c r="I51" s="103"/>
      <c r="J51" s="103"/>
      <c r="K51" s="9"/>
      <c r="L51" s="8"/>
    </row>
    <row r="52" spans="1:12" ht="18.5" thickBot="1" x14ac:dyDescent="0.4">
      <c r="A52" s="67"/>
      <c r="B52" s="269" t="s">
        <v>1030</v>
      </c>
      <c r="C52" s="16"/>
      <c r="D52" s="103"/>
      <c r="E52" s="103"/>
      <c r="F52" s="103"/>
      <c r="G52" s="103"/>
      <c r="H52" s="103"/>
      <c r="I52" s="103"/>
      <c r="J52" s="103"/>
      <c r="K52" s="9"/>
      <c r="L52" s="8"/>
    </row>
    <row r="53" spans="1:12" ht="17.5" thickTop="1" thickBot="1" x14ac:dyDescent="0.4">
      <c r="A53" s="67"/>
      <c r="B53" s="264" t="s">
        <v>1031</v>
      </c>
      <c r="C53" s="16"/>
      <c r="D53" s="103"/>
      <c r="E53" s="103"/>
      <c r="F53" s="103"/>
      <c r="G53" s="103"/>
      <c r="H53" s="103"/>
      <c r="I53" s="103"/>
      <c r="J53" s="103"/>
      <c r="K53" s="9"/>
      <c r="L53" s="8"/>
    </row>
    <row r="54" spans="1:12" x14ac:dyDescent="0.35">
      <c r="A54" s="67">
        <f>+A50+1</f>
        <v>27</v>
      </c>
      <c r="B54" s="70" t="s">
        <v>1032</v>
      </c>
      <c r="C54" s="16" t="s">
        <v>12</v>
      </c>
      <c r="D54" s="103">
        <v>272.5</v>
      </c>
      <c r="E54" s="103">
        <f t="shared" ref="E54:E59" si="6">ROUND(D54*0.2,2)</f>
        <v>54.5</v>
      </c>
      <c r="F54" s="103">
        <f t="shared" ref="F54:F59" si="7">D54+E54</f>
        <v>327</v>
      </c>
      <c r="G54" s="103"/>
      <c r="H54" s="103">
        <f>MROUND((D54*(1+Sheet1!$C$3)),0.1)</f>
        <v>280</v>
      </c>
      <c r="I54" s="103">
        <f t="shared" ref="I54:I59" si="8">ROUND(H54*0.2,2)</f>
        <v>56</v>
      </c>
      <c r="J54" s="103">
        <f t="shared" ref="J54:J59" si="9">H54+I54</f>
        <v>336</v>
      </c>
      <c r="K54" s="9">
        <f t="shared" ref="K54:K59" si="10">J54-F54</f>
        <v>9</v>
      </c>
      <c r="L54" s="8">
        <f t="shared" ref="L54:L59" si="11">IF(F54="","NEW",K54/F54)</f>
        <v>2.7522935779816515E-2</v>
      </c>
    </row>
    <row r="55" spans="1:12" x14ac:dyDescent="0.35">
      <c r="A55" s="67">
        <f t="shared" ref="A55:A59" si="12">A54+1</f>
        <v>28</v>
      </c>
      <c r="B55" s="70" t="s">
        <v>1033</v>
      </c>
      <c r="C55" s="16" t="s">
        <v>12</v>
      </c>
      <c r="D55" s="103">
        <v>408.33</v>
      </c>
      <c r="E55" s="103">
        <f t="shared" si="6"/>
        <v>81.67</v>
      </c>
      <c r="F55" s="103">
        <f t="shared" si="7"/>
        <v>490</v>
      </c>
      <c r="G55" s="103"/>
      <c r="H55" s="103">
        <f>MROUND((D55*(1+Sheet1!$C$3)),0.1)+0.4</f>
        <v>420</v>
      </c>
      <c r="I55" s="103">
        <f t="shared" si="8"/>
        <v>84</v>
      </c>
      <c r="J55" s="103">
        <f t="shared" si="9"/>
        <v>504</v>
      </c>
      <c r="K55" s="9">
        <f t="shared" si="10"/>
        <v>14</v>
      </c>
      <c r="L55" s="8">
        <f t="shared" si="11"/>
        <v>2.8571428571428571E-2</v>
      </c>
    </row>
    <row r="56" spans="1:12" x14ac:dyDescent="0.35">
      <c r="A56" s="67">
        <f t="shared" si="12"/>
        <v>29</v>
      </c>
      <c r="B56" s="70" t="s">
        <v>1034</v>
      </c>
      <c r="C56" s="16" t="s">
        <v>12</v>
      </c>
      <c r="D56" s="103">
        <v>300.83</v>
      </c>
      <c r="E56" s="103">
        <f t="shared" si="6"/>
        <v>60.17</v>
      </c>
      <c r="F56" s="103">
        <f t="shared" si="7"/>
        <v>361</v>
      </c>
      <c r="G56" s="103"/>
      <c r="H56" s="103">
        <f>MROUND((D56*(1+Sheet1!$C$3)),0.1)+0.07</f>
        <v>309.17</v>
      </c>
      <c r="I56" s="103">
        <f t="shared" si="8"/>
        <v>61.83</v>
      </c>
      <c r="J56" s="103">
        <f t="shared" si="9"/>
        <v>371</v>
      </c>
      <c r="K56" s="9">
        <f t="shared" si="10"/>
        <v>10</v>
      </c>
      <c r="L56" s="8">
        <f t="shared" si="11"/>
        <v>2.7700831024930747E-2</v>
      </c>
    </row>
    <row r="57" spans="1:12" x14ac:dyDescent="0.35">
      <c r="A57" s="67">
        <f t="shared" si="12"/>
        <v>30</v>
      </c>
      <c r="B57" s="70" t="s">
        <v>1035</v>
      </c>
      <c r="C57" s="16" t="s">
        <v>12</v>
      </c>
      <c r="D57" s="103">
        <v>407.5</v>
      </c>
      <c r="E57" s="103">
        <f t="shared" si="6"/>
        <v>81.5</v>
      </c>
      <c r="F57" s="103">
        <f t="shared" si="7"/>
        <v>489</v>
      </c>
      <c r="G57" s="103"/>
      <c r="H57" s="103">
        <f>MROUND((D57*(1+Sheet1!$C$3)),0.1)+2.13</f>
        <v>420.83000000000004</v>
      </c>
      <c r="I57" s="103">
        <f t="shared" si="8"/>
        <v>84.17</v>
      </c>
      <c r="J57" s="103">
        <f t="shared" si="9"/>
        <v>505.00000000000006</v>
      </c>
      <c r="K57" s="9">
        <f t="shared" si="10"/>
        <v>16.000000000000057</v>
      </c>
      <c r="L57" s="8">
        <f t="shared" si="11"/>
        <v>3.271983640081811E-2</v>
      </c>
    </row>
    <row r="58" spans="1:12" x14ac:dyDescent="0.35">
      <c r="A58" s="67">
        <f t="shared" si="12"/>
        <v>31</v>
      </c>
      <c r="B58" s="68" t="s">
        <v>1036</v>
      </c>
      <c r="C58" s="16" t="s">
        <v>12</v>
      </c>
      <c r="D58" s="103">
        <v>133.33000000000001</v>
      </c>
      <c r="E58" s="103">
        <f t="shared" si="6"/>
        <v>26.67</v>
      </c>
      <c r="F58" s="103">
        <f t="shared" si="7"/>
        <v>160</v>
      </c>
      <c r="G58" s="103"/>
      <c r="H58" s="103">
        <f>MROUND((D58*(1+Sheet1!$C$3)),0.1)+0.5</f>
        <v>137.5</v>
      </c>
      <c r="I58" s="103">
        <f t="shared" si="8"/>
        <v>27.5</v>
      </c>
      <c r="J58" s="103">
        <f t="shared" si="9"/>
        <v>165</v>
      </c>
      <c r="K58" s="9">
        <f t="shared" si="10"/>
        <v>5</v>
      </c>
      <c r="L58" s="8">
        <f t="shared" si="11"/>
        <v>3.125E-2</v>
      </c>
    </row>
    <row r="59" spans="1:12" x14ac:dyDescent="0.35">
      <c r="A59" s="67">
        <f t="shared" si="12"/>
        <v>32</v>
      </c>
      <c r="B59" s="70" t="s">
        <v>1037</v>
      </c>
      <c r="C59" s="16" t="s">
        <v>12</v>
      </c>
      <c r="D59" s="103">
        <v>50</v>
      </c>
      <c r="E59" s="103">
        <f t="shared" si="6"/>
        <v>10</v>
      </c>
      <c r="F59" s="103">
        <f t="shared" si="7"/>
        <v>60</v>
      </c>
      <c r="G59" s="103"/>
      <c r="H59" s="103">
        <f>MROUND((D59*(1+Sheet1!$C$3)),0.1)+0.27</f>
        <v>51.670000000000009</v>
      </c>
      <c r="I59" s="103">
        <f t="shared" si="8"/>
        <v>10.33</v>
      </c>
      <c r="J59" s="103">
        <f t="shared" si="9"/>
        <v>62.000000000000007</v>
      </c>
      <c r="K59" s="9">
        <f t="shared" si="10"/>
        <v>2.0000000000000071</v>
      </c>
      <c r="L59" s="8">
        <f t="shared" si="11"/>
        <v>3.3333333333333451E-2</v>
      </c>
    </row>
    <row r="60" spans="1:12" x14ac:dyDescent="0.35">
      <c r="A60" s="67"/>
      <c r="B60" s="68"/>
      <c r="C60" s="16"/>
      <c r="D60" s="103"/>
      <c r="E60" s="103"/>
      <c r="F60" s="103"/>
      <c r="G60" s="103"/>
      <c r="H60" s="103"/>
      <c r="I60" s="103"/>
      <c r="J60" s="103"/>
      <c r="K60" s="9"/>
      <c r="L60" s="8"/>
    </row>
    <row r="61" spans="1:12" ht="17" thickBot="1" x14ac:dyDescent="0.4">
      <c r="A61" s="67"/>
      <c r="B61" s="264" t="s">
        <v>1038</v>
      </c>
      <c r="C61" s="16"/>
      <c r="D61" s="103"/>
      <c r="E61" s="103"/>
      <c r="F61" s="103"/>
      <c r="G61" s="103"/>
      <c r="H61" s="103"/>
      <c r="I61" s="103"/>
      <c r="J61" s="103"/>
      <c r="K61" s="9"/>
      <c r="L61" s="8"/>
    </row>
    <row r="62" spans="1:12" x14ac:dyDescent="0.35">
      <c r="A62" s="67">
        <f>A59+1</f>
        <v>33</v>
      </c>
      <c r="B62" s="70" t="s">
        <v>1039</v>
      </c>
      <c r="C62" s="16" t="s">
        <v>12</v>
      </c>
      <c r="D62" s="103">
        <v>44.17</v>
      </c>
      <c r="E62" s="103">
        <f>ROUND(D62*0.2,2)</f>
        <v>8.83</v>
      </c>
      <c r="F62" s="103">
        <f>D62+E62</f>
        <v>53</v>
      </c>
      <c r="G62" s="103"/>
      <c r="H62" s="103">
        <f>MROUND((D62*(1+Sheet1!$C$3)),0.1)-7.9</f>
        <v>37.500000000000007</v>
      </c>
      <c r="I62" s="103">
        <f>ROUND(H62*0.2,2)</f>
        <v>7.5</v>
      </c>
      <c r="J62" s="103">
        <f>H62+I62</f>
        <v>45.000000000000007</v>
      </c>
      <c r="K62" s="9">
        <f>J62-F62</f>
        <v>-7.9999999999999929</v>
      </c>
      <c r="L62" s="8">
        <f>IF(F62="","NEW",K62/F62)</f>
        <v>-0.15094339622641495</v>
      </c>
    </row>
    <row r="63" spans="1:12" x14ac:dyDescent="0.35">
      <c r="A63" s="67">
        <f>A62+1</f>
        <v>34</v>
      </c>
      <c r="B63" s="70" t="s">
        <v>1040</v>
      </c>
      <c r="C63" s="16" t="s">
        <v>12</v>
      </c>
      <c r="D63" s="103">
        <v>18.329999999999998</v>
      </c>
      <c r="E63" s="103">
        <f>ROUND(D63*0.2,2)</f>
        <v>3.67</v>
      </c>
      <c r="F63" s="103">
        <f>D63+E63</f>
        <v>22</v>
      </c>
      <c r="G63" s="103"/>
      <c r="H63" s="103">
        <f>MROUND((D63*(1+Sheet1!$C$3)),0.1)-0.47</f>
        <v>18.330000000000002</v>
      </c>
      <c r="I63" s="103">
        <f>ROUND(H63*0.2,2)</f>
        <v>3.67</v>
      </c>
      <c r="J63" s="103">
        <f>H63+I63</f>
        <v>22</v>
      </c>
      <c r="K63" s="9">
        <f>J63-F63</f>
        <v>0</v>
      </c>
      <c r="L63" s="8">
        <f>IF(F63="","NEW",K63/F63)</f>
        <v>0</v>
      </c>
    </row>
    <row r="64" spans="1:12" x14ac:dyDescent="0.35">
      <c r="A64" s="67">
        <f>A63+1</f>
        <v>35</v>
      </c>
      <c r="B64" s="70" t="s">
        <v>1041</v>
      </c>
      <c r="C64" s="16" t="s">
        <v>12</v>
      </c>
      <c r="D64" s="103">
        <v>4.17</v>
      </c>
      <c r="E64" s="103">
        <f>ROUND(D64*0.2,2)</f>
        <v>0.83</v>
      </c>
      <c r="F64" s="103">
        <f>D64+E64</f>
        <v>5</v>
      </c>
      <c r="G64" s="103"/>
      <c r="H64" s="103">
        <f>MROUND((D64*(1+Sheet1!$C$3)),0.1)+0.03</f>
        <v>4.33</v>
      </c>
      <c r="I64" s="103">
        <f>ROUND(H64*0.2,2)</f>
        <v>0.87</v>
      </c>
      <c r="J64" s="103">
        <f>H64+I64</f>
        <v>5.2</v>
      </c>
      <c r="K64" s="9">
        <f>J64-F64</f>
        <v>0.20000000000000018</v>
      </c>
      <c r="L64" s="8">
        <f>IF(F64="","NEW",K64/F64)</f>
        <v>4.0000000000000036E-2</v>
      </c>
    </row>
    <row r="65" spans="1:12" x14ac:dyDescent="0.35">
      <c r="A65" s="67">
        <f>A64+1</f>
        <v>36</v>
      </c>
      <c r="B65" s="70" t="s">
        <v>1042</v>
      </c>
      <c r="C65" s="16" t="s">
        <v>12</v>
      </c>
      <c r="D65" s="103">
        <v>83.33</v>
      </c>
      <c r="E65" s="103">
        <f>ROUND(D65*0.2,2)</f>
        <v>16.670000000000002</v>
      </c>
      <c r="F65" s="103">
        <f>D65+E65</f>
        <v>100</v>
      </c>
      <c r="G65" s="103"/>
      <c r="H65" s="103">
        <f>MROUND((D65*(1+Sheet1!$C$3)),0.1)+1.9</f>
        <v>87.500000000000014</v>
      </c>
      <c r="I65" s="103">
        <f>ROUND(H65*0.2,2)</f>
        <v>17.5</v>
      </c>
      <c r="J65" s="103">
        <f>H65+I65</f>
        <v>105.00000000000001</v>
      </c>
      <c r="K65" s="9">
        <f>J65-F65</f>
        <v>5.0000000000000142</v>
      </c>
      <c r="L65" s="8">
        <f>IF(F65="","NEW",K65/F65)</f>
        <v>5.0000000000000142E-2</v>
      </c>
    </row>
    <row r="66" spans="1:12" x14ac:dyDescent="0.35">
      <c r="A66" s="67"/>
      <c r="B66" s="70"/>
      <c r="C66" s="16"/>
      <c r="D66" s="103"/>
      <c r="E66" s="103"/>
      <c r="F66" s="103"/>
      <c r="G66" s="103"/>
      <c r="H66" s="103"/>
      <c r="I66" s="103"/>
      <c r="J66" s="103"/>
      <c r="K66" s="9"/>
      <c r="L66" s="8"/>
    </row>
    <row r="67" spans="1:12" ht="17" thickBot="1" x14ac:dyDescent="0.4">
      <c r="A67" s="67"/>
      <c r="B67" s="264" t="s">
        <v>1043</v>
      </c>
      <c r="C67" s="16"/>
      <c r="D67" s="103"/>
      <c r="E67" s="103"/>
      <c r="F67" s="103"/>
      <c r="G67" s="103"/>
      <c r="H67" s="103"/>
      <c r="I67" s="103"/>
      <c r="J67" s="103"/>
      <c r="K67" s="9"/>
      <c r="L67" s="8"/>
    </row>
    <row r="68" spans="1:12" x14ac:dyDescent="0.35">
      <c r="A68" s="67">
        <f>A65+1</f>
        <v>37</v>
      </c>
      <c r="B68" s="70" t="s">
        <v>1044</v>
      </c>
      <c r="C68" s="16" t="s">
        <v>12</v>
      </c>
      <c r="D68" s="103">
        <v>215</v>
      </c>
      <c r="E68" s="103">
        <f>ROUND(D68*0.2,2)</f>
        <v>43</v>
      </c>
      <c r="F68" s="103">
        <f>D68+E68</f>
        <v>258</v>
      </c>
      <c r="G68" s="103"/>
      <c r="H68" s="103">
        <f>MROUND((D68*(1+Sheet1!$C$3)),0.1)-0.07</f>
        <v>220.83</v>
      </c>
      <c r="I68" s="103">
        <f>ROUND(H68*0.2,2)</f>
        <v>44.17</v>
      </c>
      <c r="J68" s="103">
        <f>H68+I68</f>
        <v>265</v>
      </c>
      <c r="K68" s="9">
        <f>J68-F68</f>
        <v>7</v>
      </c>
      <c r="L68" s="8">
        <f>IF(F68="","NEW",K68/F68)</f>
        <v>2.7131782945736434E-2</v>
      </c>
    </row>
    <row r="69" spans="1:12" x14ac:dyDescent="0.35">
      <c r="A69" s="67">
        <f>A68+1</f>
        <v>38</v>
      </c>
      <c r="B69" s="70" t="s">
        <v>1045</v>
      </c>
      <c r="C69" s="16" t="s">
        <v>12</v>
      </c>
      <c r="D69" s="103">
        <v>129.16999999999999</v>
      </c>
      <c r="E69" s="103">
        <f>ROUND(D69*0.2,2)</f>
        <v>25.83</v>
      </c>
      <c r="F69" s="103">
        <f>D69+E69</f>
        <v>155</v>
      </c>
      <c r="G69" s="103"/>
      <c r="H69" s="103">
        <f>MROUND((D69*(1+Sheet1!$C$3)),0.1)+0.63</f>
        <v>133.33000000000001</v>
      </c>
      <c r="I69" s="103">
        <f>ROUND(H69*0.2,2)</f>
        <v>26.67</v>
      </c>
      <c r="J69" s="103">
        <f>H69+I69</f>
        <v>160</v>
      </c>
      <c r="K69" s="9">
        <f>J69-F69</f>
        <v>5</v>
      </c>
      <c r="L69" s="8">
        <f>IF(F69="","NEW",K69/F69)</f>
        <v>3.2258064516129031E-2</v>
      </c>
    </row>
    <row r="70" spans="1:12" x14ac:dyDescent="0.35">
      <c r="A70" s="67">
        <f t="shared" ref="A70:A74" si="13">+A69+1</f>
        <v>39</v>
      </c>
      <c r="B70" s="70" t="s">
        <v>1046</v>
      </c>
      <c r="C70" s="16" t="s">
        <v>12</v>
      </c>
      <c r="D70" s="103">
        <v>203.33</v>
      </c>
      <c r="E70" s="103">
        <f>ROUND(D70*0.2,2)</f>
        <v>40.67</v>
      </c>
      <c r="F70" s="103">
        <f>D70+E70</f>
        <v>244</v>
      </c>
      <c r="G70" s="103"/>
      <c r="H70" s="103">
        <f>MROUND((D70*(1+Sheet1!$C$3)),0.1)-0.57</f>
        <v>208.33</v>
      </c>
      <c r="I70" s="103">
        <f>ROUND(H70*0.2,2)</f>
        <v>41.67</v>
      </c>
      <c r="J70" s="103">
        <f>H70+I70</f>
        <v>250</v>
      </c>
      <c r="K70" s="9">
        <f>J70-F70</f>
        <v>6</v>
      </c>
      <c r="L70" s="8">
        <f>IF(F70="","NEW",K70/F70)</f>
        <v>2.4590163934426229E-2</v>
      </c>
    </row>
    <row r="71" spans="1:12" x14ac:dyDescent="0.35">
      <c r="A71" s="67">
        <f t="shared" si="13"/>
        <v>40</v>
      </c>
      <c r="B71" s="70" t="s">
        <v>1041</v>
      </c>
      <c r="C71" s="16" t="s">
        <v>12</v>
      </c>
      <c r="D71" s="103">
        <v>35.83</v>
      </c>
      <c r="E71" s="103">
        <f>ROUND(D71*0.2,2)</f>
        <v>7.17</v>
      </c>
      <c r="F71" s="103">
        <f>D71+E71</f>
        <v>43</v>
      </c>
      <c r="G71" s="103"/>
      <c r="H71" s="103">
        <f>MROUND((D71*(1+Sheet1!$C$3)),0.1)+0.7</f>
        <v>37.500000000000007</v>
      </c>
      <c r="I71" s="103">
        <f>ROUND(H71*0.2,2)</f>
        <v>7.5</v>
      </c>
      <c r="J71" s="103">
        <f>H71+I71</f>
        <v>45.000000000000007</v>
      </c>
      <c r="K71" s="9">
        <f>J71-F71</f>
        <v>2.0000000000000071</v>
      </c>
      <c r="L71" s="8">
        <f>IF(F71="","NEW",K71/F71)</f>
        <v>4.651162790697691E-2</v>
      </c>
    </row>
    <row r="72" spans="1:12" x14ac:dyDescent="0.35">
      <c r="A72" s="67">
        <f t="shared" si="13"/>
        <v>41</v>
      </c>
      <c r="B72" s="70" t="s">
        <v>1047</v>
      </c>
      <c r="C72" s="16" t="s">
        <v>12</v>
      </c>
      <c r="D72" s="627" t="s">
        <v>1048</v>
      </c>
      <c r="E72" s="628"/>
      <c r="F72" s="628"/>
      <c r="G72" s="628"/>
      <c r="H72" s="628"/>
      <c r="I72" s="628"/>
      <c r="J72" s="629"/>
      <c r="K72" s="9"/>
      <c r="L72" s="8"/>
    </row>
    <row r="73" spans="1:12" x14ac:dyDescent="0.35">
      <c r="A73" s="67">
        <f>+A72+1</f>
        <v>42</v>
      </c>
      <c r="B73" s="68" t="s">
        <v>1049</v>
      </c>
      <c r="C73" s="16" t="s">
        <v>12</v>
      </c>
      <c r="D73" s="103">
        <v>56.67</v>
      </c>
      <c r="E73" s="103">
        <f>ROUND(D73*0.2,2)</f>
        <v>11.33</v>
      </c>
      <c r="F73" s="103">
        <f>D73+E73</f>
        <v>68</v>
      </c>
      <c r="G73" s="103"/>
      <c r="H73" s="103">
        <f>MROUND((D73*(1+Sheet1!$C$3)),0.1)+0.13</f>
        <v>58.330000000000005</v>
      </c>
      <c r="I73" s="103">
        <f>ROUND(H73*0.2,2)</f>
        <v>11.67</v>
      </c>
      <c r="J73" s="103">
        <f>H73+I73</f>
        <v>70</v>
      </c>
      <c r="K73" s="9">
        <f>J73-F73</f>
        <v>2</v>
      </c>
      <c r="L73" s="8">
        <f>IF(F73="","NEW",K73/F73)</f>
        <v>2.9411764705882353E-2</v>
      </c>
    </row>
    <row r="74" spans="1:12" x14ac:dyDescent="0.35">
      <c r="A74" s="67">
        <f t="shared" si="13"/>
        <v>43</v>
      </c>
      <c r="B74" s="68" t="s">
        <v>1050</v>
      </c>
      <c r="C74" s="16" t="s">
        <v>12</v>
      </c>
      <c r="D74" s="103">
        <v>56.67</v>
      </c>
      <c r="E74" s="103">
        <f>ROUND(D74*0.2,2)</f>
        <v>11.33</v>
      </c>
      <c r="F74" s="103">
        <f>D74+E74</f>
        <v>68</v>
      </c>
      <c r="G74" s="103"/>
      <c r="H74" s="103">
        <f>MROUND((D74*(1+Sheet1!$C$3)),0.1)+0.13</f>
        <v>58.330000000000005</v>
      </c>
      <c r="I74" s="103">
        <f>ROUND(H74*0.2,2)</f>
        <v>11.67</v>
      </c>
      <c r="J74" s="103">
        <f>H74+I74</f>
        <v>70</v>
      </c>
      <c r="K74" s="9">
        <f>J74-F74</f>
        <v>2</v>
      </c>
      <c r="L74" s="8">
        <f>IF(F74="","NEW",K74/F74)</f>
        <v>2.9411764705882353E-2</v>
      </c>
    </row>
    <row r="75" spans="1:12" x14ac:dyDescent="0.35">
      <c r="A75" s="67"/>
      <c r="B75" s="70"/>
      <c r="C75" s="16"/>
      <c r="D75" s="103"/>
      <c r="E75" s="103"/>
      <c r="F75" s="103"/>
      <c r="G75" s="103"/>
      <c r="H75" s="103"/>
      <c r="I75" s="103"/>
      <c r="J75" s="103"/>
      <c r="K75" s="9"/>
      <c r="L75" s="8"/>
    </row>
    <row r="76" spans="1:12" ht="17" thickBot="1" x14ac:dyDescent="0.4">
      <c r="A76" s="67"/>
      <c r="B76" s="264" t="s">
        <v>1051</v>
      </c>
      <c r="C76" s="16"/>
      <c r="D76" s="103"/>
      <c r="E76" s="103"/>
      <c r="F76" s="103"/>
      <c r="G76" s="103"/>
      <c r="H76" s="103"/>
      <c r="I76" s="103"/>
      <c r="J76" s="103"/>
      <c r="K76" s="9"/>
      <c r="L76" s="8"/>
    </row>
    <row r="77" spans="1:12" x14ac:dyDescent="0.35">
      <c r="A77" s="67">
        <f>A74+1</f>
        <v>44</v>
      </c>
      <c r="B77" s="70" t="s">
        <v>1052</v>
      </c>
      <c r="C77" s="16" t="s">
        <v>12</v>
      </c>
      <c r="D77" s="103">
        <v>25</v>
      </c>
      <c r="E77" s="103">
        <f>ROUND(D77*0.2,2)</f>
        <v>5</v>
      </c>
      <c r="F77" s="103">
        <f>D77+E77</f>
        <v>30</v>
      </c>
      <c r="G77" s="103"/>
      <c r="H77" s="103">
        <f>MROUND((D77*(1+Sheet1!$C$3)),0.1)+0.13</f>
        <v>25.830000000000002</v>
      </c>
      <c r="I77" s="103">
        <f>ROUND(H77*0.2,2)</f>
        <v>5.17</v>
      </c>
      <c r="J77" s="103">
        <f>H77+I77</f>
        <v>31</v>
      </c>
      <c r="K77" s="9">
        <f>J77-F77</f>
        <v>1</v>
      </c>
      <c r="L77" s="8">
        <f>IF(F77="","NEW",K77/F77)</f>
        <v>3.3333333333333333E-2</v>
      </c>
    </row>
    <row r="78" spans="1:12" x14ac:dyDescent="0.35">
      <c r="A78" s="67">
        <f>+A77+1</f>
        <v>45</v>
      </c>
      <c r="B78" s="70" t="s">
        <v>1053</v>
      </c>
      <c r="C78" s="16" t="s">
        <v>12</v>
      </c>
      <c r="D78" s="103">
        <v>68.33</v>
      </c>
      <c r="E78" s="103">
        <f>ROUND(D78*0.2,2)</f>
        <v>13.67</v>
      </c>
      <c r="F78" s="103">
        <f>D78+E78</f>
        <v>82</v>
      </c>
      <c r="G78" s="103"/>
      <c r="H78" s="103">
        <f>MROUND((D78*(1+Sheet1!$C$3)),0.1)+0.22</f>
        <v>70.42</v>
      </c>
      <c r="I78" s="103">
        <f>ROUND(H78*0.2,2)</f>
        <v>14.08</v>
      </c>
      <c r="J78" s="103">
        <f>H78+I78</f>
        <v>84.5</v>
      </c>
      <c r="K78" s="9">
        <f>J78-F78</f>
        <v>2.5</v>
      </c>
      <c r="L78" s="8">
        <f>IF(F78="","NEW",K78/F78)</f>
        <v>3.048780487804878E-2</v>
      </c>
    </row>
    <row r="79" spans="1:12" x14ac:dyDescent="0.35">
      <c r="A79" s="67"/>
      <c r="B79" s="70"/>
      <c r="C79" s="16"/>
      <c r="D79" s="103"/>
      <c r="E79" s="103"/>
      <c r="F79" s="103"/>
      <c r="G79" s="103"/>
      <c r="H79" s="103"/>
      <c r="I79" s="103"/>
      <c r="J79" s="103"/>
      <c r="K79" s="9"/>
      <c r="L79" s="8"/>
    </row>
    <row r="80" spans="1:12" ht="17" thickBot="1" x14ac:dyDescent="0.4">
      <c r="A80" s="67"/>
      <c r="B80" s="264" t="s">
        <v>1054</v>
      </c>
      <c r="C80" s="16"/>
      <c r="D80" s="103"/>
      <c r="E80" s="103"/>
      <c r="F80" s="103"/>
      <c r="G80" s="103"/>
      <c r="H80" s="103"/>
      <c r="I80" s="103"/>
      <c r="J80" s="103"/>
      <c r="K80" s="9"/>
      <c r="L80" s="8"/>
    </row>
    <row r="81" spans="1:13" x14ac:dyDescent="0.35">
      <c r="A81" s="67">
        <f>+A78+1</f>
        <v>46</v>
      </c>
      <c r="B81" s="70" t="s">
        <v>1055</v>
      </c>
      <c r="C81" s="16" t="s">
        <v>12</v>
      </c>
      <c r="D81" s="103">
        <v>210.83</v>
      </c>
      <c r="E81" s="103">
        <f>ROUND(D81*0.2,2)</f>
        <v>42.17</v>
      </c>
      <c r="F81" s="103">
        <f>D81+E81</f>
        <v>253</v>
      </c>
      <c r="G81" s="103"/>
      <c r="H81" s="103">
        <f>MROUND((D81*(1+Sheet1!$C$3)),0.1)+0.07</f>
        <v>216.67000000000002</v>
      </c>
      <c r="I81" s="103">
        <f>ROUND(H81*0.2,2)</f>
        <v>43.33</v>
      </c>
      <c r="J81" s="103">
        <f>H81+I81</f>
        <v>260</v>
      </c>
      <c r="K81" s="9">
        <f>J81-F81</f>
        <v>7</v>
      </c>
      <c r="L81" s="8">
        <f>IF(F81="","NEW",K81/F81)</f>
        <v>2.766798418972332E-2</v>
      </c>
    </row>
    <row r="82" spans="1:13" x14ac:dyDescent="0.35">
      <c r="A82" s="67"/>
      <c r="B82" s="70"/>
      <c r="C82" s="16"/>
      <c r="D82" s="103"/>
      <c r="E82" s="103"/>
      <c r="F82" s="103"/>
      <c r="G82" s="103"/>
      <c r="H82" s="103"/>
      <c r="I82" s="103"/>
      <c r="J82" s="103"/>
      <c r="K82" s="9"/>
      <c r="L82" s="8"/>
    </row>
    <row r="83" spans="1:13" ht="17" thickBot="1" x14ac:dyDescent="0.4">
      <c r="A83" s="67"/>
      <c r="B83" s="264" t="s">
        <v>1056</v>
      </c>
      <c r="C83" s="16"/>
      <c r="D83" s="103"/>
      <c r="E83" s="103"/>
      <c r="F83" s="103"/>
      <c r="G83" s="103"/>
      <c r="H83" s="103"/>
      <c r="I83" s="103"/>
      <c r="J83" s="103"/>
      <c r="K83" s="9"/>
      <c r="L83" s="8"/>
    </row>
    <row r="84" spans="1:13" x14ac:dyDescent="0.35">
      <c r="A84" s="67">
        <f>+A81+1</f>
        <v>47</v>
      </c>
      <c r="B84" s="70" t="s">
        <v>1004</v>
      </c>
      <c r="C84" s="16" t="s">
        <v>12</v>
      </c>
      <c r="D84" s="103">
        <v>27.92</v>
      </c>
      <c r="E84" s="103">
        <f>ROUND(D84*0.2,2)</f>
        <v>5.58</v>
      </c>
      <c r="F84" s="103">
        <f>D84+E84</f>
        <v>33.5</v>
      </c>
      <c r="G84" s="103"/>
      <c r="H84" s="103">
        <f>MROUND((D84*(1+Sheet1!$C$3)),0.1)+0.05</f>
        <v>28.750000000000004</v>
      </c>
      <c r="I84" s="103">
        <f>ROUND(H84*0.2,2)</f>
        <v>5.75</v>
      </c>
      <c r="J84" s="103">
        <f>H84+I84</f>
        <v>34.5</v>
      </c>
      <c r="K84" s="9">
        <f>J84-F84</f>
        <v>1</v>
      </c>
      <c r="L84" s="8">
        <f>IF(F84="","NEW",K84/F84)</f>
        <v>2.9850746268656716E-2</v>
      </c>
    </row>
    <row r="85" spans="1:13" x14ac:dyDescent="0.35">
      <c r="A85" s="67">
        <f>+A84+1</f>
        <v>48</v>
      </c>
      <c r="B85" s="70" t="s">
        <v>1057</v>
      </c>
      <c r="C85" s="16" t="s">
        <v>12</v>
      </c>
      <c r="D85" s="103">
        <v>17.079999999999998</v>
      </c>
      <c r="E85" s="103">
        <f>ROUND(D85*0.2,2)</f>
        <v>3.42</v>
      </c>
      <c r="F85" s="103">
        <f>D85+E85</f>
        <v>20.5</v>
      </c>
      <c r="G85" s="103"/>
      <c r="H85" s="103">
        <f>MROUND((D85*(1+Sheet1!$C$3)),0.1)</f>
        <v>17.5</v>
      </c>
      <c r="I85" s="103">
        <f>ROUND(H85*0.2,2)</f>
        <v>3.5</v>
      </c>
      <c r="J85" s="103">
        <f>H85+I85</f>
        <v>21</v>
      </c>
      <c r="K85" s="9">
        <f>J85-F85</f>
        <v>0.5</v>
      </c>
      <c r="L85" s="8">
        <f>IF(F85="","NEW",K85/F85)</f>
        <v>2.4390243902439025E-2</v>
      </c>
    </row>
    <row r="86" spans="1:13" s="36" customFormat="1" x14ac:dyDescent="0.35">
      <c r="A86" s="37"/>
      <c r="B86" s="133"/>
      <c r="C86" s="16"/>
      <c r="D86" s="40"/>
      <c r="E86" s="40"/>
      <c r="F86" s="40"/>
      <c r="G86" s="40"/>
      <c r="H86" s="40"/>
      <c r="I86" s="40"/>
      <c r="J86" s="103"/>
      <c r="K86" s="9"/>
      <c r="L86" s="8"/>
      <c r="M86" s="126"/>
    </row>
    <row r="87" spans="1:13" ht="17" thickBot="1" x14ac:dyDescent="0.4">
      <c r="A87" s="233"/>
      <c r="B87" s="292" t="s">
        <v>1058</v>
      </c>
      <c r="C87" s="16"/>
      <c r="D87" s="103"/>
      <c r="E87" s="103"/>
      <c r="F87" s="103"/>
      <c r="G87" s="103"/>
      <c r="H87" s="103"/>
      <c r="I87" s="103"/>
      <c r="J87" s="103"/>
      <c r="K87" s="9"/>
      <c r="L87" s="8"/>
    </row>
    <row r="88" spans="1:13" x14ac:dyDescent="0.35">
      <c r="A88" s="67">
        <f>A85+1</f>
        <v>49</v>
      </c>
      <c r="B88" s="70" t="s">
        <v>1059</v>
      </c>
      <c r="C88" s="16" t="s">
        <v>12</v>
      </c>
      <c r="D88" s="103">
        <v>400</v>
      </c>
      <c r="E88" s="103"/>
      <c r="F88" s="103">
        <f t="shared" ref="F88:F93" si="14">D88+E88</f>
        <v>400</v>
      </c>
      <c r="G88" s="103"/>
      <c r="H88" s="103">
        <f>MROUND((D88*(1+Sheet1!$C$3)),0.1)</f>
        <v>411</v>
      </c>
      <c r="I88" s="103"/>
      <c r="J88" s="103">
        <f t="shared" ref="J88:J93" si="15">H88+I88</f>
        <v>411</v>
      </c>
      <c r="K88" s="9">
        <f t="shared" ref="K88:K93" si="16">J88-F88</f>
        <v>11</v>
      </c>
      <c r="L88" s="8">
        <f t="shared" ref="L88:L93" si="17">IF(F88="","NEW",K88/F88)</f>
        <v>2.75E-2</v>
      </c>
    </row>
    <row r="89" spans="1:13" x14ac:dyDescent="0.35">
      <c r="A89" s="67">
        <f>+A88+1</f>
        <v>50</v>
      </c>
      <c r="B89" s="70" t="s">
        <v>453</v>
      </c>
      <c r="C89" s="16" t="s">
        <v>12</v>
      </c>
      <c r="D89" s="103">
        <v>800</v>
      </c>
      <c r="E89" s="103"/>
      <c r="F89" s="103">
        <f t="shared" si="14"/>
        <v>800</v>
      </c>
      <c r="G89" s="103"/>
      <c r="H89" s="103">
        <f>MROUND((D89*(1+Sheet1!$C$3)),0.1)</f>
        <v>822</v>
      </c>
      <c r="I89" s="103"/>
      <c r="J89" s="103">
        <f t="shared" si="15"/>
        <v>822</v>
      </c>
      <c r="K89" s="9">
        <f t="shared" si="16"/>
        <v>22</v>
      </c>
      <c r="L89" s="8">
        <f t="shared" si="17"/>
        <v>2.75E-2</v>
      </c>
    </row>
    <row r="90" spans="1:13" x14ac:dyDescent="0.35">
      <c r="A90" s="67">
        <f>+A89+1</f>
        <v>51</v>
      </c>
      <c r="B90" s="70" t="s">
        <v>454</v>
      </c>
      <c r="C90" s="16" t="s">
        <v>12</v>
      </c>
      <c r="D90" s="103">
        <v>1600</v>
      </c>
      <c r="E90" s="103"/>
      <c r="F90" s="103">
        <f t="shared" si="14"/>
        <v>1600</v>
      </c>
      <c r="G90" s="103"/>
      <c r="H90" s="103">
        <f>MROUND((D90*(1+Sheet1!$C$3)),0.1)</f>
        <v>1644</v>
      </c>
      <c r="I90" s="103"/>
      <c r="J90" s="103">
        <f t="shared" si="15"/>
        <v>1644</v>
      </c>
      <c r="K90" s="9">
        <f t="shared" si="16"/>
        <v>44</v>
      </c>
      <c r="L90" s="8">
        <f t="shared" si="17"/>
        <v>2.75E-2</v>
      </c>
    </row>
    <row r="91" spans="1:13" x14ac:dyDescent="0.35">
      <c r="A91" s="67">
        <f>+A90+1</f>
        <v>52</v>
      </c>
      <c r="B91" s="70" t="s">
        <v>449</v>
      </c>
      <c r="C91" s="16" t="s">
        <v>12</v>
      </c>
      <c r="D91" s="103">
        <v>80</v>
      </c>
      <c r="E91" s="103"/>
      <c r="F91" s="103">
        <f t="shared" si="14"/>
        <v>80</v>
      </c>
      <c r="G91" s="103"/>
      <c r="H91" s="103">
        <f>MROUND((D91*(1+Sheet1!$C$3)),0.1)</f>
        <v>82.2</v>
      </c>
      <c r="I91" s="103"/>
      <c r="J91" s="103">
        <f t="shared" si="15"/>
        <v>82.2</v>
      </c>
      <c r="K91" s="9">
        <f t="shared" si="16"/>
        <v>2.2000000000000028</v>
      </c>
      <c r="L91" s="8">
        <f t="shared" si="17"/>
        <v>2.7500000000000035E-2</v>
      </c>
    </row>
    <row r="92" spans="1:13" x14ac:dyDescent="0.35">
      <c r="A92" s="67">
        <f>+A91+1</f>
        <v>53</v>
      </c>
      <c r="B92" s="70" t="s">
        <v>450</v>
      </c>
      <c r="C92" s="16" t="s">
        <v>12</v>
      </c>
      <c r="D92" s="103">
        <v>110</v>
      </c>
      <c r="E92" s="103"/>
      <c r="F92" s="103">
        <f t="shared" si="14"/>
        <v>110</v>
      </c>
      <c r="G92" s="103"/>
      <c r="H92" s="103">
        <f>MROUND((D92*(1+Sheet1!$C$3)),0.1)</f>
        <v>113</v>
      </c>
      <c r="I92" s="103"/>
      <c r="J92" s="103">
        <f t="shared" si="15"/>
        <v>113</v>
      </c>
      <c r="K92" s="9">
        <f t="shared" si="16"/>
        <v>3</v>
      </c>
      <c r="L92" s="8">
        <f t="shared" si="17"/>
        <v>2.7272727272727271E-2</v>
      </c>
    </row>
    <row r="93" spans="1:13" x14ac:dyDescent="0.35">
      <c r="A93" s="67">
        <f>+A92+1</f>
        <v>54</v>
      </c>
      <c r="B93" s="70" t="s">
        <v>451</v>
      </c>
      <c r="C93" s="16" t="s">
        <v>12</v>
      </c>
      <c r="D93" s="103">
        <v>160</v>
      </c>
      <c r="E93" s="103"/>
      <c r="F93" s="103">
        <f t="shared" si="14"/>
        <v>160</v>
      </c>
      <c r="G93" s="103"/>
      <c r="H93" s="103">
        <f>MROUND((D93*(1+Sheet1!$C$3)),0.1)</f>
        <v>164.4</v>
      </c>
      <c r="I93" s="103"/>
      <c r="J93" s="103">
        <f t="shared" si="15"/>
        <v>164.4</v>
      </c>
      <c r="K93" s="9">
        <f t="shared" si="16"/>
        <v>4.4000000000000057</v>
      </c>
      <c r="L93" s="8">
        <f t="shared" si="17"/>
        <v>2.7500000000000035E-2</v>
      </c>
    </row>
  </sheetData>
  <mergeCells count="3">
    <mergeCell ref="A1:B1"/>
    <mergeCell ref="K1:L1"/>
    <mergeCell ref="D72:J72"/>
  </mergeCells>
  <conditionalFormatting sqref="L4:L93">
    <cfRule type="cellIs" dxfId="12" priority="42" operator="equal">
      <formula>"NEW"</formula>
    </cfRule>
  </conditionalFormatting>
  <dataValidations count="2">
    <dataValidation type="list" allowBlank="1" showInputMessage="1" showErrorMessage="1" sqref="IL65513:IL65626 SH65513:SH65626 ACD65513:ACD65626 ALZ65513:ALZ65626 AVV65513:AVV65626 BFR65513:BFR65626 BPN65513:BPN65626 BZJ65513:BZJ65626 CJF65513:CJF65626 CTB65513:CTB65626 DCX65513:DCX65626 DMT65513:DMT65626 DWP65513:DWP65626 EGL65513:EGL65626 EQH65513:EQH65626 FAD65513:FAD65626 FJZ65513:FJZ65626 FTV65513:FTV65626 GDR65513:GDR65626 GNN65513:GNN65626 GXJ65513:GXJ65626 HHF65513:HHF65626 HRB65513:HRB65626 IAX65513:IAX65626 IKT65513:IKT65626 IUP65513:IUP65626 JEL65513:JEL65626 JOH65513:JOH65626 JYD65513:JYD65626 KHZ65513:KHZ65626 KRV65513:KRV65626 LBR65513:LBR65626 LLN65513:LLN65626 LVJ65513:LVJ65626 MFF65513:MFF65626 MPB65513:MPB65626 MYX65513:MYX65626 NIT65513:NIT65626 NSP65513:NSP65626 OCL65513:OCL65626 OMH65513:OMH65626 OWD65513:OWD65626 PFZ65513:PFZ65626 PPV65513:PPV65626 PZR65513:PZR65626 QJN65513:QJN65626 QTJ65513:QTJ65626 RDF65513:RDF65626 RNB65513:RNB65626 RWX65513:RWX65626 SGT65513:SGT65626 SQP65513:SQP65626 TAL65513:TAL65626 TKH65513:TKH65626 TUD65513:TUD65626 UDZ65513:UDZ65626 UNV65513:UNV65626 UXR65513:UXR65626 VHN65513:VHN65626 VRJ65513:VRJ65626 WBF65513:WBF65626 WLB65513:WLB65626 WUX65513:WUX65626 IL131049:IL131162 SH131049:SH131162 ACD131049:ACD131162 ALZ131049:ALZ131162 AVV131049:AVV131162 BFR131049:BFR131162 BPN131049:BPN131162 BZJ131049:BZJ131162 CJF131049:CJF131162 CTB131049:CTB131162 DCX131049:DCX131162 DMT131049:DMT131162 DWP131049:DWP131162 EGL131049:EGL131162 EQH131049:EQH131162 FAD131049:FAD131162 FJZ131049:FJZ131162 FTV131049:FTV131162 GDR131049:GDR131162 GNN131049:GNN131162 GXJ131049:GXJ131162 HHF131049:HHF131162 HRB131049:HRB131162 IAX131049:IAX131162 IKT131049:IKT131162 IUP131049:IUP131162 JEL131049:JEL131162 JOH131049:JOH131162 JYD131049:JYD131162 KHZ131049:KHZ131162 KRV131049:KRV131162 LBR131049:LBR131162 LLN131049:LLN131162 LVJ131049:LVJ131162 MFF131049:MFF131162 MPB131049:MPB131162 MYX131049:MYX131162 NIT131049:NIT131162 NSP131049:NSP131162 OCL131049:OCL131162 OMH131049:OMH131162 OWD131049:OWD131162 PFZ131049:PFZ131162 PPV131049:PPV131162 PZR131049:PZR131162 QJN131049:QJN131162 QTJ131049:QTJ131162 RDF131049:RDF131162 RNB131049:RNB131162 RWX131049:RWX131162 SGT131049:SGT131162 SQP131049:SQP131162 TAL131049:TAL131162 TKH131049:TKH131162 TUD131049:TUD131162 UDZ131049:UDZ131162 UNV131049:UNV131162 UXR131049:UXR131162 VHN131049:VHN131162 VRJ131049:VRJ131162 WBF131049:WBF131162 WLB131049:WLB131162 WUX131049:WUX131162 IL196585:IL196698 SH196585:SH196698 ACD196585:ACD196698 ALZ196585:ALZ196698 AVV196585:AVV196698 BFR196585:BFR196698 BPN196585:BPN196698 BZJ196585:BZJ196698 CJF196585:CJF196698 CTB196585:CTB196698 DCX196585:DCX196698 DMT196585:DMT196698 DWP196585:DWP196698 EGL196585:EGL196698 EQH196585:EQH196698 FAD196585:FAD196698 FJZ196585:FJZ196698 FTV196585:FTV196698 GDR196585:GDR196698 GNN196585:GNN196698 GXJ196585:GXJ196698 HHF196585:HHF196698 HRB196585:HRB196698 IAX196585:IAX196698 IKT196585:IKT196698 IUP196585:IUP196698 JEL196585:JEL196698 JOH196585:JOH196698 JYD196585:JYD196698 KHZ196585:KHZ196698 KRV196585:KRV196698 LBR196585:LBR196698 LLN196585:LLN196698 LVJ196585:LVJ196698 MFF196585:MFF196698 MPB196585:MPB196698 MYX196585:MYX196698 NIT196585:NIT196698 NSP196585:NSP196698 OCL196585:OCL196698 OMH196585:OMH196698 OWD196585:OWD196698 PFZ196585:PFZ196698 PPV196585:PPV196698 PZR196585:PZR196698 QJN196585:QJN196698 QTJ196585:QTJ196698 RDF196585:RDF196698 RNB196585:RNB196698 RWX196585:RWX196698 SGT196585:SGT196698 SQP196585:SQP196698 TAL196585:TAL196698 TKH196585:TKH196698 TUD196585:TUD196698 UDZ196585:UDZ196698 UNV196585:UNV196698 UXR196585:UXR196698 VHN196585:VHN196698 VRJ196585:VRJ196698 WBF196585:WBF196698 WLB196585:WLB196698 WUX196585:WUX196698 IL262121:IL262234 SH262121:SH262234 ACD262121:ACD262234 ALZ262121:ALZ262234 AVV262121:AVV262234 BFR262121:BFR262234 BPN262121:BPN262234 BZJ262121:BZJ262234 CJF262121:CJF262234 CTB262121:CTB262234 DCX262121:DCX262234 DMT262121:DMT262234 DWP262121:DWP262234 EGL262121:EGL262234 EQH262121:EQH262234 FAD262121:FAD262234 FJZ262121:FJZ262234 FTV262121:FTV262234 GDR262121:GDR262234 GNN262121:GNN262234 GXJ262121:GXJ262234 HHF262121:HHF262234 HRB262121:HRB262234 IAX262121:IAX262234 IKT262121:IKT262234 IUP262121:IUP262234 JEL262121:JEL262234 JOH262121:JOH262234 JYD262121:JYD262234 KHZ262121:KHZ262234 KRV262121:KRV262234 LBR262121:LBR262234 LLN262121:LLN262234 LVJ262121:LVJ262234 MFF262121:MFF262234 MPB262121:MPB262234 MYX262121:MYX262234 NIT262121:NIT262234 NSP262121:NSP262234 OCL262121:OCL262234 OMH262121:OMH262234 OWD262121:OWD262234 PFZ262121:PFZ262234 PPV262121:PPV262234 PZR262121:PZR262234 QJN262121:QJN262234 QTJ262121:QTJ262234 RDF262121:RDF262234 RNB262121:RNB262234 RWX262121:RWX262234 SGT262121:SGT262234 SQP262121:SQP262234 TAL262121:TAL262234 TKH262121:TKH262234 TUD262121:TUD262234 UDZ262121:UDZ262234 UNV262121:UNV262234 UXR262121:UXR262234 VHN262121:VHN262234 VRJ262121:VRJ262234 WBF262121:WBF262234 WLB262121:WLB262234 WUX262121:WUX262234 IL327657:IL327770 SH327657:SH327770 ACD327657:ACD327770 ALZ327657:ALZ327770 AVV327657:AVV327770 BFR327657:BFR327770 BPN327657:BPN327770 BZJ327657:BZJ327770 CJF327657:CJF327770 CTB327657:CTB327770 DCX327657:DCX327770 DMT327657:DMT327770 DWP327657:DWP327770 EGL327657:EGL327770 EQH327657:EQH327770 FAD327657:FAD327770 FJZ327657:FJZ327770 FTV327657:FTV327770 GDR327657:GDR327770 GNN327657:GNN327770 GXJ327657:GXJ327770 HHF327657:HHF327770 HRB327657:HRB327770 IAX327657:IAX327770 IKT327657:IKT327770 IUP327657:IUP327770 JEL327657:JEL327770 JOH327657:JOH327770 JYD327657:JYD327770 KHZ327657:KHZ327770 KRV327657:KRV327770 LBR327657:LBR327770 LLN327657:LLN327770 LVJ327657:LVJ327770 MFF327657:MFF327770 MPB327657:MPB327770 MYX327657:MYX327770 NIT327657:NIT327770 NSP327657:NSP327770 OCL327657:OCL327770 OMH327657:OMH327770 OWD327657:OWD327770 PFZ327657:PFZ327770 PPV327657:PPV327770 PZR327657:PZR327770 QJN327657:QJN327770 QTJ327657:QTJ327770 RDF327657:RDF327770 RNB327657:RNB327770 RWX327657:RWX327770 SGT327657:SGT327770 SQP327657:SQP327770 TAL327657:TAL327770 TKH327657:TKH327770 TUD327657:TUD327770 UDZ327657:UDZ327770 UNV327657:UNV327770 UXR327657:UXR327770 VHN327657:VHN327770 VRJ327657:VRJ327770 WBF327657:WBF327770 WLB327657:WLB327770 WUX327657:WUX327770 IL393193:IL393306 SH393193:SH393306 ACD393193:ACD393306 ALZ393193:ALZ393306 AVV393193:AVV393306 BFR393193:BFR393306 BPN393193:BPN393306 BZJ393193:BZJ393306 CJF393193:CJF393306 CTB393193:CTB393306 DCX393193:DCX393306 DMT393193:DMT393306 DWP393193:DWP393306 EGL393193:EGL393306 EQH393193:EQH393306 FAD393193:FAD393306 FJZ393193:FJZ393306 FTV393193:FTV393306 GDR393193:GDR393306 GNN393193:GNN393306 GXJ393193:GXJ393306 HHF393193:HHF393306 HRB393193:HRB393306 IAX393193:IAX393306 IKT393193:IKT393306 IUP393193:IUP393306 JEL393193:JEL393306 JOH393193:JOH393306 JYD393193:JYD393306 KHZ393193:KHZ393306 KRV393193:KRV393306 LBR393193:LBR393306 LLN393193:LLN393306 LVJ393193:LVJ393306 MFF393193:MFF393306 MPB393193:MPB393306 MYX393193:MYX393306 NIT393193:NIT393306 NSP393193:NSP393306 OCL393193:OCL393306 OMH393193:OMH393306 OWD393193:OWD393306 PFZ393193:PFZ393306 PPV393193:PPV393306 PZR393193:PZR393306 QJN393193:QJN393306 QTJ393193:QTJ393306 RDF393193:RDF393306 RNB393193:RNB393306 RWX393193:RWX393306 SGT393193:SGT393306 SQP393193:SQP393306 TAL393193:TAL393306 TKH393193:TKH393306 TUD393193:TUD393306 UDZ393193:UDZ393306 UNV393193:UNV393306 UXR393193:UXR393306 VHN393193:VHN393306 VRJ393193:VRJ393306 WBF393193:WBF393306 WLB393193:WLB393306 WUX393193:WUX393306 IL458729:IL458842 SH458729:SH458842 ACD458729:ACD458842 ALZ458729:ALZ458842 AVV458729:AVV458842 BFR458729:BFR458842 BPN458729:BPN458842 BZJ458729:BZJ458842 CJF458729:CJF458842 CTB458729:CTB458842 DCX458729:DCX458842 DMT458729:DMT458842 DWP458729:DWP458842 EGL458729:EGL458842 EQH458729:EQH458842 FAD458729:FAD458842 FJZ458729:FJZ458842 FTV458729:FTV458842 GDR458729:GDR458842 GNN458729:GNN458842 GXJ458729:GXJ458842 HHF458729:HHF458842 HRB458729:HRB458842 IAX458729:IAX458842 IKT458729:IKT458842 IUP458729:IUP458842 JEL458729:JEL458842 JOH458729:JOH458842 JYD458729:JYD458842 KHZ458729:KHZ458842 KRV458729:KRV458842 LBR458729:LBR458842 LLN458729:LLN458842 LVJ458729:LVJ458842 MFF458729:MFF458842 MPB458729:MPB458842 MYX458729:MYX458842 NIT458729:NIT458842 NSP458729:NSP458842 OCL458729:OCL458842 OMH458729:OMH458842 OWD458729:OWD458842 PFZ458729:PFZ458842 PPV458729:PPV458842 PZR458729:PZR458842 QJN458729:QJN458842 QTJ458729:QTJ458842 RDF458729:RDF458842 RNB458729:RNB458842 RWX458729:RWX458842 SGT458729:SGT458842 SQP458729:SQP458842 TAL458729:TAL458842 TKH458729:TKH458842 TUD458729:TUD458842 UDZ458729:UDZ458842 UNV458729:UNV458842 UXR458729:UXR458842 VHN458729:VHN458842 VRJ458729:VRJ458842 WBF458729:WBF458842 WLB458729:WLB458842 WUX458729:WUX458842 IL524265:IL524378 SH524265:SH524378 ACD524265:ACD524378 ALZ524265:ALZ524378 AVV524265:AVV524378 BFR524265:BFR524378 BPN524265:BPN524378 BZJ524265:BZJ524378 CJF524265:CJF524378 CTB524265:CTB524378 DCX524265:DCX524378 DMT524265:DMT524378 DWP524265:DWP524378 EGL524265:EGL524378 EQH524265:EQH524378 FAD524265:FAD524378 FJZ524265:FJZ524378 FTV524265:FTV524378 GDR524265:GDR524378 GNN524265:GNN524378 GXJ524265:GXJ524378 HHF524265:HHF524378 HRB524265:HRB524378 IAX524265:IAX524378 IKT524265:IKT524378 IUP524265:IUP524378 JEL524265:JEL524378 JOH524265:JOH524378 JYD524265:JYD524378 KHZ524265:KHZ524378 KRV524265:KRV524378 LBR524265:LBR524378 LLN524265:LLN524378 LVJ524265:LVJ524378 MFF524265:MFF524378 MPB524265:MPB524378 MYX524265:MYX524378 NIT524265:NIT524378 NSP524265:NSP524378 OCL524265:OCL524378 OMH524265:OMH524378 OWD524265:OWD524378 PFZ524265:PFZ524378 PPV524265:PPV524378 PZR524265:PZR524378 QJN524265:QJN524378 QTJ524265:QTJ524378 RDF524265:RDF524378 RNB524265:RNB524378 RWX524265:RWX524378 SGT524265:SGT524378 SQP524265:SQP524378 TAL524265:TAL524378 TKH524265:TKH524378 TUD524265:TUD524378 UDZ524265:UDZ524378 UNV524265:UNV524378 UXR524265:UXR524378 VHN524265:VHN524378 VRJ524265:VRJ524378 WBF524265:WBF524378 WLB524265:WLB524378 WUX524265:WUX524378 IL589801:IL589914 SH589801:SH589914 ACD589801:ACD589914 ALZ589801:ALZ589914 AVV589801:AVV589914 BFR589801:BFR589914 BPN589801:BPN589914 BZJ589801:BZJ589914 CJF589801:CJF589914 CTB589801:CTB589914 DCX589801:DCX589914 DMT589801:DMT589914 DWP589801:DWP589914 EGL589801:EGL589914 EQH589801:EQH589914 FAD589801:FAD589914 FJZ589801:FJZ589914 FTV589801:FTV589914 GDR589801:GDR589914 GNN589801:GNN589914 GXJ589801:GXJ589914 HHF589801:HHF589914 HRB589801:HRB589914 IAX589801:IAX589914 IKT589801:IKT589914 IUP589801:IUP589914 JEL589801:JEL589914 JOH589801:JOH589914 JYD589801:JYD589914 KHZ589801:KHZ589914 KRV589801:KRV589914 LBR589801:LBR589914 LLN589801:LLN589914 LVJ589801:LVJ589914 MFF589801:MFF589914 MPB589801:MPB589914 MYX589801:MYX589914 NIT589801:NIT589914 NSP589801:NSP589914 OCL589801:OCL589914 OMH589801:OMH589914 OWD589801:OWD589914 PFZ589801:PFZ589914 PPV589801:PPV589914 PZR589801:PZR589914 QJN589801:QJN589914 QTJ589801:QTJ589914 RDF589801:RDF589914 RNB589801:RNB589914 RWX589801:RWX589914 SGT589801:SGT589914 SQP589801:SQP589914 TAL589801:TAL589914 TKH589801:TKH589914 TUD589801:TUD589914 UDZ589801:UDZ589914 UNV589801:UNV589914 UXR589801:UXR589914 VHN589801:VHN589914 VRJ589801:VRJ589914 WBF589801:WBF589914 WLB589801:WLB589914 WUX589801:WUX589914 IL655337:IL655450 SH655337:SH655450 ACD655337:ACD655450 ALZ655337:ALZ655450 AVV655337:AVV655450 BFR655337:BFR655450 BPN655337:BPN655450 BZJ655337:BZJ655450 CJF655337:CJF655450 CTB655337:CTB655450 DCX655337:DCX655450 DMT655337:DMT655450 DWP655337:DWP655450 EGL655337:EGL655450 EQH655337:EQH655450 FAD655337:FAD655450 FJZ655337:FJZ655450 FTV655337:FTV655450 GDR655337:GDR655450 GNN655337:GNN655450 GXJ655337:GXJ655450 HHF655337:HHF655450 HRB655337:HRB655450 IAX655337:IAX655450 IKT655337:IKT655450 IUP655337:IUP655450 JEL655337:JEL655450 JOH655337:JOH655450 JYD655337:JYD655450 KHZ655337:KHZ655450 KRV655337:KRV655450 LBR655337:LBR655450 LLN655337:LLN655450 LVJ655337:LVJ655450 MFF655337:MFF655450 MPB655337:MPB655450 MYX655337:MYX655450 NIT655337:NIT655450 NSP655337:NSP655450 OCL655337:OCL655450 OMH655337:OMH655450 OWD655337:OWD655450 PFZ655337:PFZ655450 PPV655337:PPV655450 PZR655337:PZR655450 QJN655337:QJN655450 QTJ655337:QTJ655450 RDF655337:RDF655450 RNB655337:RNB655450 RWX655337:RWX655450 SGT655337:SGT655450 SQP655337:SQP655450 TAL655337:TAL655450 TKH655337:TKH655450 TUD655337:TUD655450 UDZ655337:UDZ655450 UNV655337:UNV655450 UXR655337:UXR655450 VHN655337:VHN655450 VRJ655337:VRJ655450 WBF655337:WBF655450 WLB655337:WLB655450 WUX655337:WUX655450 IL720873:IL720986 SH720873:SH720986 ACD720873:ACD720986 ALZ720873:ALZ720986 AVV720873:AVV720986 BFR720873:BFR720986 BPN720873:BPN720986 BZJ720873:BZJ720986 CJF720873:CJF720986 CTB720873:CTB720986 DCX720873:DCX720986 DMT720873:DMT720986 DWP720873:DWP720986 EGL720873:EGL720986 EQH720873:EQH720986 FAD720873:FAD720986 FJZ720873:FJZ720986 FTV720873:FTV720986 GDR720873:GDR720986 GNN720873:GNN720986 GXJ720873:GXJ720986 HHF720873:HHF720986 HRB720873:HRB720986 IAX720873:IAX720986 IKT720873:IKT720986 IUP720873:IUP720986 JEL720873:JEL720986 JOH720873:JOH720986 JYD720873:JYD720986 KHZ720873:KHZ720986 KRV720873:KRV720986 LBR720873:LBR720986 LLN720873:LLN720986 LVJ720873:LVJ720986 MFF720873:MFF720986 MPB720873:MPB720986 MYX720873:MYX720986 NIT720873:NIT720986 NSP720873:NSP720986 OCL720873:OCL720986 OMH720873:OMH720986 OWD720873:OWD720986 PFZ720873:PFZ720986 PPV720873:PPV720986 PZR720873:PZR720986 QJN720873:QJN720986 QTJ720873:QTJ720986 RDF720873:RDF720986 RNB720873:RNB720986 RWX720873:RWX720986 SGT720873:SGT720986 SQP720873:SQP720986 TAL720873:TAL720986 TKH720873:TKH720986 TUD720873:TUD720986 UDZ720873:UDZ720986 UNV720873:UNV720986 UXR720873:UXR720986 VHN720873:VHN720986 VRJ720873:VRJ720986 WBF720873:WBF720986 WLB720873:WLB720986 WUX720873:WUX720986 IL786409:IL786522 SH786409:SH786522 ACD786409:ACD786522 ALZ786409:ALZ786522 AVV786409:AVV786522 BFR786409:BFR786522 BPN786409:BPN786522 BZJ786409:BZJ786522 CJF786409:CJF786522 CTB786409:CTB786522 DCX786409:DCX786522 DMT786409:DMT786522 DWP786409:DWP786522 EGL786409:EGL786522 EQH786409:EQH786522 FAD786409:FAD786522 FJZ786409:FJZ786522 FTV786409:FTV786522 GDR786409:GDR786522 GNN786409:GNN786522 GXJ786409:GXJ786522 HHF786409:HHF786522 HRB786409:HRB786522 IAX786409:IAX786522 IKT786409:IKT786522 IUP786409:IUP786522 JEL786409:JEL786522 JOH786409:JOH786522 JYD786409:JYD786522 KHZ786409:KHZ786522 KRV786409:KRV786522 LBR786409:LBR786522 LLN786409:LLN786522 LVJ786409:LVJ786522 MFF786409:MFF786522 MPB786409:MPB786522 MYX786409:MYX786522 NIT786409:NIT786522 NSP786409:NSP786522 OCL786409:OCL786522 OMH786409:OMH786522 OWD786409:OWD786522 PFZ786409:PFZ786522 PPV786409:PPV786522 PZR786409:PZR786522 QJN786409:QJN786522 QTJ786409:QTJ786522 RDF786409:RDF786522 RNB786409:RNB786522 RWX786409:RWX786522 SGT786409:SGT786522 SQP786409:SQP786522 TAL786409:TAL786522 TKH786409:TKH786522 TUD786409:TUD786522 UDZ786409:UDZ786522 UNV786409:UNV786522 UXR786409:UXR786522 VHN786409:VHN786522 VRJ786409:VRJ786522 WBF786409:WBF786522 WLB786409:WLB786522 WUX786409:WUX786522 IL851945:IL852058 SH851945:SH852058 ACD851945:ACD852058 ALZ851945:ALZ852058 AVV851945:AVV852058 BFR851945:BFR852058 BPN851945:BPN852058 BZJ851945:BZJ852058 CJF851945:CJF852058 CTB851945:CTB852058 DCX851945:DCX852058 DMT851945:DMT852058 DWP851945:DWP852058 EGL851945:EGL852058 EQH851945:EQH852058 FAD851945:FAD852058 FJZ851945:FJZ852058 FTV851945:FTV852058 GDR851945:GDR852058 GNN851945:GNN852058 GXJ851945:GXJ852058 HHF851945:HHF852058 HRB851945:HRB852058 IAX851945:IAX852058 IKT851945:IKT852058 IUP851945:IUP852058 JEL851945:JEL852058 JOH851945:JOH852058 JYD851945:JYD852058 KHZ851945:KHZ852058 KRV851945:KRV852058 LBR851945:LBR852058 LLN851945:LLN852058 LVJ851945:LVJ852058 MFF851945:MFF852058 MPB851945:MPB852058 MYX851945:MYX852058 NIT851945:NIT852058 NSP851945:NSP852058 OCL851945:OCL852058 OMH851945:OMH852058 OWD851945:OWD852058 PFZ851945:PFZ852058 PPV851945:PPV852058 PZR851945:PZR852058 QJN851945:QJN852058 QTJ851945:QTJ852058 RDF851945:RDF852058 RNB851945:RNB852058 RWX851945:RWX852058 SGT851945:SGT852058 SQP851945:SQP852058 TAL851945:TAL852058 TKH851945:TKH852058 TUD851945:TUD852058 UDZ851945:UDZ852058 UNV851945:UNV852058 UXR851945:UXR852058 VHN851945:VHN852058 VRJ851945:VRJ852058 WBF851945:WBF852058 WLB851945:WLB852058 WUX851945:WUX852058 IL917481:IL917594 SH917481:SH917594 ACD917481:ACD917594 ALZ917481:ALZ917594 AVV917481:AVV917594 BFR917481:BFR917594 BPN917481:BPN917594 BZJ917481:BZJ917594 CJF917481:CJF917594 CTB917481:CTB917594 DCX917481:DCX917594 DMT917481:DMT917594 DWP917481:DWP917594 EGL917481:EGL917594 EQH917481:EQH917594 FAD917481:FAD917594 FJZ917481:FJZ917594 FTV917481:FTV917594 GDR917481:GDR917594 GNN917481:GNN917594 GXJ917481:GXJ917594 HHF917481:HHF917594 HRB917481:HRB917594 IAX917481:IAX917594 IKT917481:IKT917594 IUP917481:IUP917594 JEL917481:JEL917594 JOH917481:JOH917594 JYD917481:JYD917594 KHZ917481:KHZ917594 KRV917481:KRV917594 LBR917481:LBR917594 LLN917481:LLN917594 LVJ917481:LVJ917594 MFF917481:MFF917594 MPB917481:MPB917594 MYX917481:MYX917594 NIT917481:NIT917594 NSP917481:NSP917594 OCL917481:OCL917594 OMH917481:OMH917594 OWD917481:OWD917594 PFZ917481:PFZ917594 PPV917481:PPV917594 PZR917481:PZR917594 QJN917481:QJN917594 QTJ917481:QTJ917594 RDF917481:RDF917594 RNB917481:RNB917594 RWX917481:RWX917594 SGT917481:SGT917594 SQP917481:SQP917594 TAL917481:TAL917594 TKH917481:TKH917594 TUD917481:TUD917594 UDZ917481:UDZ917594 UNV917481:UNV917594 UXR917481:UXR917594 VHN917481:VHN917594 VRJ917481:VRJ917594 WBF917481:WBF917594 WLB917481:WLB917594 WUX917481:WUX917594 IL983017:IL983130 SH983017:SH983130 ACD983017:ACD983130 ALZ983017:ALZ983130 AVV983017:AVV983130 BFR983017:BFR983130 BPN983017:BPN983130 BZJ983017:BZJ983130 CJF983017:CJF983130 CTB983017:CTB983130 DCX983017:DCX983130 DMT983017:DMT983130 DWP983017:DWP983130 EGL983017:EGL983130 EQH983017:EQH983130 FAD983017:FAD983130 FJZ983017:FJZ983130 FTV983017:FTV983130 GDR983017:GDR983130 GNN983017:GNN983130 GXJ983017:GXJ983130 HHF983017:HHF983130 HRB983017:HRB983130 IAX983017:IAX983130 IKT983017:IKT983130 IUP983017:IUP983130 JEL983017:JEL983130 JOH983017:JOH983130 JYD983017:JYD983130 KHZ983017:KHZ983130 KRV983017:KRV983130 LBR983017:LBR983130 LLN983017:LLN983130 LVJ983017:LVJ983130 MFF983017:MFF983130 MPB983017:MPB983130 MYX983017:MYX983130 NIT983017:NIT983130 NSP983017:NSP983130 OCL983017:OCL983130 OMH983017:OMH983130 OWD983017:OWD983130 PFZ983017:PFZ983130 PPV983017:PPV983130 PZR983017:PZR983130 QJN983017:QJN983130 QTJ983017:QTJ983130 RDF983017:RDF983130 RNB983017:RNB983130 RWX983017:RWX983130 SGT983017:SGT983130 SQP983017:SQP983130 TAL983017:TAL983130 TKH983017:TKH983130 TUD983017:TUD983130 UDZ983017:UDZ983130 UNV983017:UNV983130 UXR983017:UXR983130 VHN983017:VHN983130 VRJ983017:VRJ983130 WBF983017:WBF983130 WLB983017:WLB983130 WUX983017:WUX983130 C983017:C983130 C917481:C917594 C851945:C852058 C786409:C786522 C720873:C720986 C655337:C655450 C589801:C589914 C524265:C524378 C458729:C458842 C393193:C393306 C327657:C327770 C262121:C262234 C196585:C196698 C131049:C131162 C65513:C65626 WLB87:WLB93 WUX87:WUX93 IL87:IL93 SH87:SH93 ACD87:ACD93 ALZ87:ALZ93 AVV87:AVV93 BFR87:BFR93 BPN87:BPN93 BZJ87:BZJ93 CJF87:CJF93 CTB87:CTB93 DCX87:DCX93 DMT87:DMT93 DWP87:DWP93 EGL87:EGL93 EQH87:EQH93 FAD87:FAD93 FJZ87:FJZ93 FTV87:FTV93 GDR87:GDR93 GNN87:GNN93 GXJ87:GXJ93 HHF87:HHF93 HRB87:HRB93 IAX87:IAX93 IKT87:IKT93 IUP87:IUP93 JEL87:JEL93 JOH87:JOH93 JYD87:JYD93 KHZ87:KHZ93 KRV87:KRV93 LBR87:LBR93 LLN87:LLN93 LVJ87:LVJ93 MFF87:MFF93 MPB87:MPB93 MYX87:MYX93 NIT87:NIT93 NSP87:NSP93 OCL87:OCL93 OMH87:OMH93 OWD87:OWD93 PFZ87:PFZ93 PPV87:PPV93 PZR87:PZR93 QJN87:QJN93 QTJ87:QTJ93 RDF87:RDF93 RNB87:RNB93 RWX87:RWX93 SGT87:SGT93 SQP87:SQP93 TAL87:TAL93 TKH87:TKH93 TUD87:TUD93 UDZ87:UDZ93 UNV87:UNV93 UXR87:UXR93 VHN87:VHN93 VRJ87:VRJ93 WBF87:WBF93 WUX6:WUX85 IL6:IL85 SH6:SH85 ACD6:ACD85 ALZ6:ALZ85 AVV6:AVV85 BFR6:BFR85 BPN6:BPN85 BZJ6:BZJ85 CJF6:CJF85 CTB6:CTB85 DCX6:DCX85 DMT6:DMT85 DWP6:DWP85 EGL6:EGL85 EQH6:EQH85 FAD6:FAD85 FJZ6:FJZ85 FTV6:FTV85 GDR6:GDR85 GNN6:GNN85 GXJ6:GXJ85 HHF6:HHF85 HRB6:HRB85 IAX6:IAX85 IKT6:IKT85 IUP6:IUP85 JEL6:JEL85 JOH6:JOH85 JYD6:JYD85 KHZ6:KHZ85 KRV6:KRV85 LBR6:LBR85 LLN6:LLN85 LVJ6:LVJ85 MFF6:MFF85 MPB6:MPB85 MYX6:MYX85 NIT6:NIT85 NSP6:NSP85 OCL6:OCL85 OMH6:OMH85 OWD6:OWD85 PFZ6:PFZ85 PPV6:PPV85 PZR6:PZR85 QJN6:QJN85 QTJ6:QTJ85 RDF6:RDF85 RNB6:RNB85 RWX6:RWX85 SGT6:SGT85 SQP6:SQP85 TAL6:TAL85 TKH6:TKH85 TUD6:TUD85 UDZ6:UDZ85 UNV6:UNV85 UXR6:UXR85 VHN6:VHN85 VRJ6:VRJ85 WBF6:WBF85 WLB6:WLB85" xr:uid="{BDB76F7E-9CDE-492C-A10F-74C4F3F60794}">
      <formula1>"Statutory, Full Cost Recovery, Discretionary"</formula1>
    </dataValidation>
    <dataValidation type="list" allowBlank="1" showInputMessage="1" showErrorMessage="1" sqref="C4:C93" xr:uid="{C6B097B1-74F0-4187-894A-F6B085D12D0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rowBreaks count="2" manualBreakCount="2">
    <brk id="19"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27271-9110-454C-85E6-766660D50267}">
  <dimension ref="A1:L75"/>
  <sheetViews>
    <sheetView zoomScaleNormal="100" zoomScaleSheetLayoutView="70" workbookViewId="0">
      <selection sqref="A1:B1"/>
    </sheetView>
  </sheetViews>
  <sheetFormatPr defaultColWidth="8.7265625" defaultRowHeight="20.25" customHeight="1" x14ac:dyDescent="0.35"/>
  <cols>
    <col min="1" max="1" width="5.7265625" style="57" customWidth="1"/>
    <col min="2" max="2" width="71.54296875" style="47" customWidth="1"/>
    <col min="3" max="3" width="20.453125" style="106" customWidth="1"/>
    <col min="4" max="4" width="16" style="79" customWidth="1"/>
    <col min="5" max="5" width="10.54296875" style="79" customWidth="1"/>
    <col min="6" max="6" width="16.26953125" style="79" customWidth="1"/>
    <col min="7" max="7" width="3.453125" style="79" customWidth="1"/>
    <col min="8" max="8" width="16.26953125" style="79" customWidth="1"/>
    <col min="9" max="9" width="10.54296875" style="79" customWidth="1"/>
    <col min="10" max="10" width="16.26953125" style="79" customWidth="1"/>
    <col min="11" max="11" width="11.54296875" style="36" bestFit="1" customWidth="1"/>
    <col min="12" max="12" width="11.1796875" style="36" customWidth="1"/>
    <col min="13" max="16384" width="8.7265625" style="36"/>
  </cols>
  <sheetData>
    <row r="1" spans="1:12" s="25" customFormat="1" ht="76.5" customHeight="1" thickBot="1" x14ac:dyDescent="0.45">
      <c r="A1" s="520" t="s">
        <v>1</v>
      </c>
      <c r="B1" s="520"/>
      <c r="C1" s="26" t="s">
        <v>680</v>
      </c>
      <c r="D1" s="26" t="s">
        <v>3</v>
      </c>
      <c r="E1" s="26" t="s">
        <v>4</v>
      </c>
      <c r="F1" s="26" t="s">
        <v>5</v>
      </c>
      <c r="G1" s="26"/>
      <c r="H1" s="26" t="s">
        <v>6</v>
      </c>
      <c r="I1" s="26" t="s">
        <v>4</v>
      </c>
      <c r="J1" s="26" t="s">
        <v>7</v>
      </c>
      <c r="K1" s="522" t="s">
        <v>8</v>
      </c>
      <c r="L1" s="522"/>
    </row>
    <row r="2" spans="1:12" s="61" customFormat="1" ht="16" thickTop="1" x14ac:dyDescent="0.35">
      <c r="A2" s="59"/>
      <c r="B2" s="100"/>
      <c r="C2" s="16"/>
      <c r="D2" s="22" t="s">
        <v>9</v>
      </c>
      <c r="E2" s="22" t="s">
        <v>9</v>
      </c>
      <c r="F2" s="22" t="s">
        <v>9</v>
      </c>
      <c r="G2" s="23"/>
      <c r="H2" s="22" t="s">
        <v>9</v>
      </c>
      <c r="I2" s="22" t="s">
        <v>9</v>
      </c>
      <c r="J2" s="22" t="s">
        <v>9</v>
      </c>
      <c r="K2" s="21" t="s">
        <v>9</v>
      </c>
      <c r="L2" s="20" t="s">
        <v>10</v>
      </c>
    </row>
    <row r="3" spans="1:12" ht="15.5" x14ac:dyDescent="0.35">
      <c r="B3" s="102"/>
      <c r="C3" s="16"/>
      <c r="D3" s="15"/>
      <c r="E3" s="15"/>
      <c r="F3" s="15"/>
      <c r="G3" s="15"/>
      <c r="H3" s="15"/>
      <c r="I3" s="15"/>
      <c r="J3" s="15"/>
      <c r="K3" s="21"/>
      <c r="L3" s="20"/>
    </row>
    <row r="4" spans="1:12" ht="54.5" thickBot="1" x14ac:dyDescent="0.4">
      <c r="A4" s="162"/>
      <c r="B4" s="278" t="s">
        <v>1060</v>
      </c>
      <c r="C4" s="16"/>
      <c r="D4" s="15"/>
      <c r="E4" s="15"/>
      <c r="F4" s="15"/>
      <c r="G4" s="15"/>
      <c r="H4" s="15"/>
      <c r="I4" s="15"/>
      <c r="J4" s="15"/>
      <c r="K4" s="21"/>
      <c r="L4" s="20"/>
    </row>
    <row r="5" spans="1:12" ht="16" thickTop="1" x14ac:dyDescent="0.35">
      <c r="A5" s="236"/>
      <c r="B5" s="237"/>
      <c r="C5" s="87"/>
      <c r="D5" s="15"/>
      <c r="E5" s="15"/>
      <c r="F5" s="15"/>
      <c r="G5" s="15"/>
      <c r="H5" s="15"/>
      <c r="I5" s="15"/>
      <c r="J5" s="15"/>
      <c r="K5" s="41"/>
      <c r="L5" s="8"/>
    </row>
    <row r="6" spans="1:12" ht="31" x14ac:dyDescent="0.35">
      <c r="A6" s="238" t="s">
        <v>1061</v>
      </c>
      <c r="B6" s="42" t="s">
        <v>1062</v>
      </c>
      <c r="C6" s="87"/>
      <c r="D6" s="15"/>
      <c r="E6" s="15"/>
      <c r="F6" s="15"/>
      <c r="G6" s="15"/>
      <c r="H6" s="15"/>
      <c r="I6" s="15"/>
      <c r="J6" s="15"/>
      <c r="K6" s="41"/>
      <c r="L6" s="8"/>
    </row>
    <row r="7" spans="1:12" ht="15.5" x14ac:dyDescent="0.35">
      <c r="A7" s="238" t="s">
        <v>1061</v>
      </c>
      <c r="B7" s="42" t="s">
        <v>1063</v>
      </c>
      <c r="C7" s="87"/>
      <c r="D7" s="15"/>
      <c r="E7" s="15"/>
      <c r="F7" s="15"/>
      <c r="G7" s="15"/>
      <c r="H7" s="15"/>
      <c r="I7" s="15"/>
      <c r="J7" s="15"/>
      <c r="K7" s="41"/>
      <c r="L7" s="8"/>
    </row>
    <row r="8" spans="1:12" ht="15.65" customHeight="1" x14ac:dyDescent="0.35">
      <c r="A8" s="238">
        <v>1</v>
      </c>
      <c r="B8" s="42" t="s">
        <v>1064</v>
      </c>
      <c r="C8" s="87" t="s">
        <v>12</v>
      </c>
      <c r="D8" s="15">
        <v>10.8</v>
      </c>
      <c r="E8" s="15"/>
      <c r="F8" s="15">
        <f t="shared" ref="F8:F16" si="0">D8+E8</f>
        <v>10.8</v>
      </c>
      <c r="G8" s="15"/>
      <c r="H8" s="15">
        <f>MROUND((D8*(1+Sheet1!$C$3)),0.5)+0.5</f>
        <v>11.5</v>
      </c>
      <c r="I8" s="15"/>
      <c r="J8" s="15">
        <f t="shared" ref="J8:J16" si="1">H8+I8</f>
        <v>11.5</v>
      </c>
      <c r="K8" s="9">
        <f t="shared" ref="K8:K16" si="2">J8-F8</f>
        <v>0.69999999999999929</v>
      </c>
      <c r="L8" s="8">
        <f t="shared" ref="L8:L16" si="3">IF(F8="","NEW",K8/F8)</f>
        <v>6.4814814814814742E-2</v>
      </c>
    </row>
    <row r="9" spans="1:12" ht="15.65" customHeight="1" x14ac:dyDescent="0.35">
      <c r="A9" s="238">
        <f t="shared" ref="A9:A16" si="4">+A8+1</f>
        <v>2</v>
      </c>
      <c r="B9" s="42" t="s">
        <v>1065</v>
      </c>
      <c r="C9" s="87" t="s">
        <v>12</v>
      </c>
      <c r="D9" s="15">
        <v>32.5</v>
      </c>
      <c r="E9" s="15"/>
      <c r="F9" s="15">
        <f t="shared" si="0"/>
        <v>32.5</v>
      </c>
      <c r="G9" s="15"/>
      <c r="H9" s="15">
        <f>MROUND((D9*(1+Sheet1!$C$3)),0.5)</f>
        <v>33.5</v>
      </c>
      <c r="I9" s="15"/>
      <c r="J9" s="15">
        <f t="shared" si="1"/>
        <v>33.5</v>
      </c>
      <c r="K9" s="9">
        <f t="shared" si="2"/>
        <v>1</v>
      </c>
      <c r="L9" s="8">
        <f t="shared" si="3"/>
        <v>3.0769230769230771E-2</v>
      </c>
    </row>
    <row r="10" spans="1:12" ht="15.65" customHeight="1" x14ac:dyDescent="0.35">
      <c r="A10" s="238">
        <f t="shared" si="4"/>
        <v>3</v>
      </c>
      <c r="B10" s="42" t="s">
        <v>1066</v>
      </c>
      <c r="C10" s="87" t="s">
        <v>12</v>
      </c>
      <c r="D10" s="15">
        <v>10.8</v>
      </c>
      <c r="E10" s="15"/>
      <c r="F10" s="15">
        <f t="shared" si="0"/>
        <v>10.8</v>
      </c>
      <c r="G10" s="15"/>
      <c r="H10" s="15">
        <f>MROUND((D10*(1+Sheet1!$C$3)),0.5)+0.5</f>
        <v>11.5</v>
      </c>
      <c r="I10" s="15"/>
      <c r="J10" s="15">
        <f t="shared" si="1"/>
        <v>11.5</v>
      </c>
      <c r="K10" s="9">
        <f t="shared" si="2"/>
        <v>0.69999999999999929</v>
      </c>
      <c r="L10" s="8">
        <f t="shared" si="3"/>
        <v>6.4814814814814742E-2</v>
      </c>
    </row>
    <row r="11" spans="1:12" ht="15.65" customHeight="1" x14ac:dyDescent="0.35">
      <c r="A11" s="238">
        <f t="shared" si="4"/>
        <v>4</v>
      </c>
      <c r="B11" s="42" t="s">
        <v>1067</v>
      </c>
      <c r="C11" s="87" t="s">
        <v>12</v>
      </c>
      <c r="D11" s="15">
        <v>47.25</v>
      </c>
      <c r="E11" s="15">
        <f t="shared" ref="E11:E16" si="5">ROUND(D11*0.2,2)</f>
        <v>9.4499999999999993</v>
      </c>
      <c r="F11" s="15">
        <f t="shared" si="0"/>
        <v>56.7</v>
      </c>
      <c r="G11" s="15"/>
      <c r="H11" s="15">
        <f>MROUND((D11*(1+Sheet1!$C$3)),0.5)+1.5</f>
        <v>50</v>
      </c>
      <c r="I11" s="15">
        <f t="shared" ref="I11:I16" si="6">ROUND(H11*0.2,2)</f>
        <v>10</v>
      </c>
      <c r="J11" s="15">
        <f t="shared" si="1"/>
        <v>60</v>
      </c>
      <c r="K11" s="9">
        <f t="shared" si="2"/>
        <v>3.2999999999999972</v>
      </c>
      <c r="L11" s="8">
        <f t="shared" si="3"/>
        <v>5.8201058201058149E-2</v>
      </c>
    </row>
    <row r="12" spans="1:12" ht="15" customHeight="1" x14ac:dyDescent="0.35">
      <c r="A12" s="238">
        <f t="shared" si="4"/>
        <v>5</v>
      </c>
      <c r="B12" s="42" t="s">
        <v>1068</v>
      </c>
      <c r="C12" s="87" t="s">
        <v>12</v>
      </c>
      <c r="D12" s="15">
        <v>12</v>
      </c>
      <c r="E12" s="15">
        <f t="shared" si="5"/>
        <v>2.4</v>
      </c>
      <c r="F12" s="15">
        <f t="shared" si="0"/>
        <v>14.4</v>
      </c>
      <c r="G12" s="15"/>
      <c r="H12" s="15">
        <f>MROUND((D12*(1+Sheet1!$C$3)),0.5)</f>
        <v>12.5</v>
      </c>
      <c r="I12" s="15">
        <f t="shared" si="6"/>
        <v>2.5</v>
      </c>
      <c r="J12" s="15">
        <f t="shared" si="1"/>
        <v>15</v>
      </c>
      <c r="K12" s="9">
        <f t="shared" si="2"/>
        <v>0.59999999999999964</v>
      </c>
      <c r="L12" s="8">
        <f t="shared" si="3"/>
        <v>4.1666666666666644E-2</v>
      </c>
    </row>
    <row r="13" spans="1:12" ht="15" customHeight="1" x14ac:dyDescent="0.35">
      <c r="A13" s="238">
        <f t="shared" si="4"/>
        <v>6</v>
      </c>
      <c r="B13" s="42" t="s">
        <v>1069</v>
      </c>
      <c r="C13" s="87" t="s">
        <v>12</v>
      </c>
      <c r="D13" s="15">
        <v>13</v>
      </c>
      <c r="E13" s="15">
        <f t="shared" si="5"/>
        <v>2.6</v>
      </c>
      <c r="F13" s="15">
        <f t="shared" si="0"/>
        <v>15.6</v>
      </c>
      <c r="G13" s="15"/>
      <c r="H13" s="15">
        <f>MROUND((D13*(1+Sheet1!$C$3)),0.5)+0.25</f>
        <v>13.75</v>
      </c>
      <c r="I13" s="15">
        <f t="shared" si="6"/>
        <v>2.75</v>
      </c>
      <c r="J13" s="15">
        <f t="shared" si="1"/>
        <v>16.5</v>
      </c>
      <c r="K13" s="9">
        <f t="shared" si="2"/>
        <v>0.90000000000000036</v>
      </c>
      <c r="L13" s="8">
        <f t="shared" si="3"/>
        <v>5.7692307692307716E-2</v>
      </c>
    </row>
    <row r="14" spans="1:12" ht="15" customHeight="1" x14ac:dyDescent="0.35">
      <c r="A14" s="238">
        <f t="shared" si="4"/>
        <v>7</v>
      </c>
      <c r="B14" s="239" t="s">
        <v>1070</v>
      </c>
      <c r="C14" s="87" t="s">
        <v>12</v>
      </c>
      <c r="D14" s="15">
        <v>13</v>
      </c>
      <c r="E14" s="15">
        <f t="shared" si="5"/>
        <v>2.6</v>
      </c>
      <c r="F14" s="15">
        <f t="shared" si="0"/>
        <v>15.6</v>
      </c>
      <c r="G14" s="15"/>
      <c r="H14" s="15">
        <f>MROUND((D14*(1+Sheet1!$C$3)),0.5)+0.25</f>
        <v>13.75</v>
      </c>
      <c r="I14" s="15">
        <f t="shared" si="6"/>
        <v>2.75</v>
      </c>
      <c r="J14" s="15">
        <f t="shared" si="1"/>
        <v>16.5</v>
      </c>
      <c r="K14" s="9">
        <f t="shared" si="2"/>
        <v>0.90000000000000036</v>
      </c>
      <c r="L14" s="8">
        <f t="shared" si="3"/>
        <v>5.7692307692307716E-2</v>
      </c>
    </row>
    <row r="15" spans="1:12" ht="15" customHeight="1" x14ac:dyDescent="0.35">
      <c r="A15" s="238">
        <f t="shared" si="4"/>
        <v>8</v>
      </c>
      <c r="B15" s="239" t="s">
        <v>1071</v>
      </c>
      <c r="C15" s="87" t="s">
        <v>12</v>
      </c>
      <c r="D15" s="15">
        <v>13</v>
      </c>
      <c r="E15" s="15">
        <f t="shared" si="5"/>
        <v>2.6</v>
      </c>
      <c r="F15" s="15">
        <f t="shared" si="0"/>
        <v>15.6</v>
      </c>
      <c r="G15" s="15"/>
      <c r="H15" s="15">
        <f>MROUND((D15*(1+Sheet1!$C$3)),0.5)+0.25</f>
        <v>13.75</v>
      </c>
      <c r="I15" s="15">
        <f t="shared" si="6"/>
        <v>2.75</v>
      </c>
      <c r="J15" s="15">
        <f t="shared" si="1"/>
        <v>16.5</v>
      </c>
      <c r="K15" s="9">
        <f t="shared" si="2"/>
        <v>0.90000000000000036</v>
      </c>
      <c r="L15" s="8">
        <f t="shared" si="3"/>
        <v>5.7692307692307716E-2</v>
      </c>
    </row>
    <row r="16" spans="1:12" ht="15" customHeight="1" x14ac:dyDescent="0.35">
      <c r="A16" s="238">
        <f t="shared" si="4"/>
        <v>9</v>
      </c>
      <c r="B16" s="239" t="s">
        <v>1072</v>
      </c>
      <c r="C16" s="87" t="s">
        <v>12</v>
      </c>
      <c r="D16" s="15">
        <v>14</v>
      </c>
      <c r="E16" s="15">
        <f t="shared" si="5"/>
        <v>2.8</v>
      </c>
      <c r="F16" s="15">
        <f t="shared" si="0"/>
        <v>16.8</v>
      </c>
      <c r="G16" s="15"/>
      <c r="H16" s="15">
        <f>MROUND((D16*(1+Sheet1!$C$3)),0.5)+0.08</f>
        <v>14.58</v>
      </c>
      <c r="I16" s="15">
        <f t="shared" si="6"/>
        <v>2.92</v>
      </c>
      <c r="J16" s="15">
        <f t="shared" si="1"/>
        <v>17.5</v>
      </c>
      <c r="K16" s="9">
        <f t="shared" si="2"/>
        <v>0.69999999999999929</v>
      </c>
      <c r="L16" s="8">
        <f t="shared" si="3"/>
        <v>4.1666666666666623E-2</v>
      </c>
    </row>
    <row r="17" spans="1:12" ht="15" customHeight="1" x14ac:dyDescent="0.35">
      <c r="A17" s="238"/>
      <c r="B17" s="165"/>
      <c r="C17" s="87"/>
      <c r="D17" s="15"/>
      <c r="E17" s="15"/>
      <c r="F17" s="15"/>
      <c r="G17" s="15"/>
      <c r="H17" s="15"/>
      <c r="I17" s="15"/>
      <c r="J17" s="15"/>
      <c r="K17" s="9"/>
      <c r="L17" s="8"/>
    </row>
    <row r="18" spans="1:12" ht="18.5" thickBot="1" x14ac:dyDescent="0.4">
      <c r="A18" s="238"/>
      <c r="B18" s="269" t="s">
        <v>1073</v>
      </c>
      <c r="C18" s="87"/>
      <c r="D18" s="15"/>
      <c r="E18" s="15"/>
      <c r="F18" s="15"/>
      <c r="G18" s="15"/>
      <c r="H18" s="15"/>
      <c r="I18" s="15"/>
      <c r="J18" s="15"/>
      <c r="K18" s="9"/>
      <c r="L18" s="8"/>
    </row>
    <row r="19" spans="1:12" s="123" customFormat="1" ht="15" customHeight="1" thickTop="1" x14ac:dyDescent="0.25">
      <c r="A19" s="227"/>
      <c r="B19" s="66"/>
      <c r="C19" s="87"/>
      <c r="D19" s="15"/>
      <c r="E19" s="240"/>
      <c r="F19" s="240"/>
      <c r="G19" s="240"/>
      <c r="H19" s="15"/>
      <c r="I19" s="240"/>
      <c r="J19" s="240"/>
      <c r="K19" s="9"/>
      <c r="L19" s="8"/>
    </row>
    <row r="20" spans="1:12" s="123" customFormat="1" ht="15" customHeight="1" x14ac:dyDescent="0.25">
      <c r="A20" s="238"/>
      <c r="B20" s="172" t="s">
        <v>1074</v>
      </c>
      <c r="C20" s="87"/>
      <c r="D20" s="15"/>
      <c r="E20" s="240"/>
      <c r="F20" s="15"/>
      <c r="G20" s="240"/>
      <c r="H20" s="15"/>
      <c r="I20" s="240"/>
      <c r="J20" s="15"/>
      <c r="K20" s="9"/>
      <c r="L20" s="8"/>
    </row>
    <row r="21" spans="1:12" s="123" customFormat="1" ht="15.5" x14ac:dyDescent="0.25">
      <c r="A21" s="238"/>
      <c r="B21" s="172" t="s">
        <v>1075</v>
      </c>
      <c r="C21" s="87"/>
      <c r="D21" s="15"/>
      <c r="E21" s="240"/>
      <c r="F21" s="241"/>
      <c r="G21" s="240"/>
      <c r="H21" s="15"/>
      <c r="I21" s="240"/>
      <c r="J21" s="241"/>
      <c r="K21" s="9"/>
      <c r="L21" s="8"/>
    </row>
    <row r="22" spans="1:12" s="123" customFormat="1" ht="15.5" x14ac:dyDescent="0.25">
      <c r="A22" s="238"/>
      <c r="B22" s="293" t="s">
        <v>1076</v>
      </c>
      <c r="C22" s="87"/>
      <c r="D22" s="15"/>
      <c r="E22" s="240"/>
      <c r="F22" s="15"/>
      <c r="G22" s="240"/>
      <c r="H22" s="15"/>
      <c r="I22" s="240"/>
      <c r="J22" s="15"/>
      <c r="K22" s="9"/>
      <c r="L22" s="8"/>
    </row>
    <row r="23" spans="1:12" s="123" customFormat="1" ht="15.5" x14ac:dyDescent="0.25">
      <c r="A23" s="238"/>
      <c r="B23" s="242"/>
      <c r="C23" s="87"/>
      <c r="D23" s="15"/>
      <c r="E23" s="240"/>
      <c r="F23" s="15"/>
      <c r="G23" s="240"/>
      <c r="H23" s="15"/>
      <c r="I23" s="240"/>
      <c r="J23" s="15"/>
      <c r="K23" s="9"/>
      <c r="L23" s="8"/>
    </row>
    <row r="24" spans="1:12" ht="52" customHeight="1" thickBot="1" x14ac:dyDescent="0.4">
      <c r="A24" s="238"/>
      <c r="B24" s="264" t="s">
        <v>1077</v>
      </c>
      <c r="C24" s="630" t="s">
        <v>1078</v>
      </c>
      <c r="D24" s="631"/>
      <c r="E24" s="631"/>
      <c r="F24" s="631"/>
      <c r="G24" s="631"/>
      <c r="H24" s="631"/>
      <c r="I24" s="631"/>
      <c r="J24" s="631"/>
      <c r="K24" s="631"/>
      <c r="L24" s="632"/>
    </row>
    <row r="25" spans="1:12" ht="15" customHeight="1" x14ac:dyDescent="0.35">
      <c r="A25" s="238"/>
      <c r="B25" s="86" t="s">
        <v>1079</v>
      </c>
      <c r="C25" s="87"/>
      <c r="D25" s="15"/>
      <c r="E25" s="65"/>
      <c r="F25" s="15"/>
      <c r="G25" s="15"/>
      <c r="H25" s="15"/>
      <c r="I25" s="65"/>
      <c r="J25" s="15"/>
      <c r="K25" s="9"/>
      <c r="L25" s="8"/>
    </row>
    <row r="26" spans="1:12" ht="15" customHeight="1" x14ac:dyDescent="0.35">
      <c r="A26" s="238">
        <f>A16+1</f>
        <v>10</v>
      </c>
      <c r="B26" s="86" t="s">
        <v>1080</v>
      </c>
      <c r="C26" s="87" t="s">
        <v>12</v>
      </c>
      <c r="D26" s="15">
        <v>2620</v>
      </c>
      <c r="E26" s="15">
        <f>ROUND(D26*0.2,2)</f>
        <v>524</v>
      </c>
      <c r="F26" s="15">
        <f>D26+E26</f>
        <v>3144</v>
      </c>
      <c r="G26" s="15"/>
      <c r="H26" s="15">
        <f>MROUND((D26*(1+Sheet1!$C$3)),1)-0.33</f>
        <v>2691.67</v>
      </c>
      <c r="I26" s="15">
        <f>ROUND(H26*0.2,2)</f>
        <v>538.33000000000004</v>
      </c>
      <c r="J26" s="15">
        <f>H26+I26</f>
        <v>3230</v>
      </c>
      <c r="K26" s="9">
        <f>J26-F26</f>
        <v>86</v>
      </c>
      <c r="L26" s="8">
        <f>IF(F26="","NEW",K26/F26)</f>
        <v>2.7353689567430027E-2</v>
      </c>
    </row>
    <row r="27" spans="1:12" ht="15" customHeight="1" x14ac:dyDescent="0.35">
      <c r="A27" s="238">
        <f>A26+1</f>
        <v>11</v>
      </c>
      <c r="B27" s="86" t="s">
        <v>1081</v>
      </c>
      <c r="C27" s="87" t="s">
        <v>12</v>
      </c>
      <c r="D27" s="15">
        <v>1400</v>
      </c>
      <c r="E27" s="15">
        <f>ROUND(D27*0.2,2)</f>
        <v>280</v>
      </c>
      <c r="F27" s="15">
        <f>D27+E27</f>
        <v>1680</v>
      </c>
      <c r="G27" s="15"/>
      <c r="H27" s="15">
        <f>MROUND((D27*(1+Sheet1!$C$3)),1)-1.5</f>
        <v>1437.5</v>
      </c>
      <c r="I27" s="15">
        <f>ROUND(H27*0.2,2)</f>
        <v>287.5</v>
      </c>
      <c r="J27" s="15">
        <f>H27+I27</f>
        <v>1725</v>
      </c>
      <c r="K27" s="9">
        <f>J27-F27</f>
        <v>45</v>
      </c>
      <c r="L27" s="8">
        <f>IF(F27="","NEW",K27/F27)</f>
        <v>2.6785714285714284E-2</v>
      </c>
    </row>
    <row r="28" spans="1:12" ht="15" customHeight="1" x14ac:dyDescent="0.35">
      <c r="A28" s="238"/>
      <c r="B28" s="86"/>
      <c r="C28" s="87"/>
      <c r="D28" s="15"/>
      <c r="E28" s="15"/>
      <c r="F28" s="15"/>
      <c r="G28" s="15"/>
      <c r="H28" s="15"/>
      <c r="I28" s="15"/>
      <c r="J28" s="15"/>
      <c r="K28" s="9"/>
      <c r="L28" s="8"/>
    </row>
    <row r="29" spans="1:12" ht="52" customHeight="1" thickBot="1" x14ac:dyDescent="0.4">
      <c r="A29" s="238"/>
      <c r="B29" s="264" t="s">
        <v>1082</v>
      </c>
      <c r="C29" s="630" t="s">
        <v>1083</v>
      </c>
      <c r="D29" s="631"/>
      <c r="E29" s="631"/>
      <c r="F29" s="631"/>
      <c r="G29" s="631"/>
      <c r="H29" s="631"/>
      <c r="I29" s="631"/>
      <c r="J29" s="631"/>
      <c r="K29" s="631"/>
      <c r="L29" s="632"/>
    </row>
    <row r="30" spans="1:12" ht="15" customHeight="1" x14ac:dyDescent="0.35">
      <c r="A30" s="238">
        <f>A27+1</f>
        <v>12</v>
      </c>
      <c r="B30" s="86" t="s">
        <v>1084</v>
      </c>
      <c r="C30" s="87" t="s">
        <v>12</v>
      </c>
      <c r="D30" s="15">
        <v>750</v>
      </c>
      <c r="E30" s="15">
        <f>ROUND(D30*0.2,2)</f>
        <v>150</v>
      </c>
      <c r="F30" s="15">
        <f>D30+E30</f>
        <v>900</v>
      </c>
      <c r="G30" s="15"/>
      <c r="H30" s="15">
        <f>MROUND((D30*(1+Sheet1!$C$3)),0.1)+0.23</f>
        <v>770.83</v>
      </c>
      <c r="I30" s="15">
        <f>ROUND(H30*0.2,2)</f>
        <v>154.16999999999999</v>
      </c>
      <c r="J30" s="15">
        <f>H30+I30</f>
        <v>925</v>
      </c>
      <c r="K30" s="9">
        <f>J30-F30</f>
        <v>25</v>
      </c>
      <c r="L30" s="8">
        <f>IF(F30="","NEW",K30/F30)</f>
        <v>2.7777777777777776E-2</v>
      </c>
    </row>
    <row r="31" spans="1:12" ht="15" customHeight="1" x14ac:dyDescent="0.35">
      <c r="A31" s="238">
        <f>A30+1</f>
        <v>13</v>
      </c>
      <c r="B31" s="86" t="s">
        <v>1080</v>
      </c>
      <c r="C31" s="87" t="s">
        <v>12</v>
      </c>
      <c r="D31" s="15">
        <v>2000</v>
      </c>
      <c r="E31" s="15">
        <f>ROUND(D31*0.2,2)</f>
        <v>400</v>
      </c>
      <c r="F31" s="15">
        <f>D31+E31</f>
        <v>2400</v>
      </c>
      <c r="G31" s="15"/>
      <c r="H31" s="15">
        <f>MROUND((D31*(1+Sheet1!$C$3)),0.1)-0.83</f>
        <v>2054.17</v>
      </c>
      <c r="I31" s="15">
        <f>ROUND(H31*0.2,2)</f>
        <v>410.83</v>
      </c>
      <c r="J31" s="15">
        <f>H31+I31</f>
        <v>2465</v>
      </c>
      <c r="K31" s="9">
        <f>J31-F31</f>
        <v>65</v>
      </c>
      <c r="L31" s="8">
        <f>IF(F31="","NEW",K31/F31)</f>
        <v>2.7083333333333334E-2</v>
      </c>
    </row>
    <row r="32" spans="1:12" ht="15" customHeight="1" x14ac:dyDescent="0.35">
      <c r="A32" s="238">
        <f>A31+1</f>
        <v>14</v>
      </c>
      <c r="B32" s="86" t="s">
        <v>1081</v>
      </c>
      <c r="C32" s="87" t="s">
        <v>12</v>
      </c>
      <c r="D32" s="15">
        <v>1000</v>
      </c>
      <c r="E32" s="15">
        <f>ROUND(D32*0.2,2)</f>
        <v>200</v>
      </c>
      <c r="F32" s="15">
        <f>D32+E32</f>
        <v>1200</v>
      </c>
      <c r="G32" s="15"/>
      <c r="H32" s="15">
        <f>MROUND((D32*(1+Sheet1!$C$3)),0.1)+1.67</f>
        <v>1029.17</v>
      </c>
      <c r="I32" s="15">
        <f>ROUND(H32*0.2,2)</f>
        <v>205.83</v>
      </c>
      <c r="J32" s="15">
        <f>H32+I32</f>
        <v>1235</v>
      </c>
      <c r="K32" s="9">
        <f>J32-F32</f>
        <v>35</v>
      </c>
      <c r="L32" s="8">
        <f>IF(F32="","NEW",K32/F32)</f>
        <v>2.9166666666666667E-2</v>
      </c>
    </row>
    <row r="33" spans="1:12" ht="15" customHeight="1" x14ac:dyDescent="0.35">
      <c r="A33" s="238"/>
      <c r="B33" s="86"/>
      <c r="C33" s="87"/>
      <c r="D33" s="15"/>
      <c r="E33" s="15"/>
      <c r="F33" s="15"/>
      <c r="G33" s="15"/>
      <c r="H33" s="15"/>
      <c r="I33" s="15"/>
      <c r="J33" s="15"/>
      <c r="K33" s="9"/>
      <c r="L33" s="8"/>
    </row>
    <row r="34" spans="1:12" ht="15" customHeight="1" thickBot="1" x14ac:dyDescent="0.4">
      <c r="A34" s="238"/>
      <c r="B34" s="264" t="s">
        <v>1085</v>
      </c>
      <c r="C34" s="87"/>
      <c r="D34" s="15"/>
      <c r="E34" s="65"/>
      <c r="F34" s="15"/>
      <c r="G34" s="15"/>
      <c r="H34" s="15"/>
      <c r="I34" s="65"/>
      <c r="J34" s="15"/>
      <c r="K34" s="9"/>
      <c r="L34" s="8"/>
    </row>
    <row r="35" spans="1:12" ht="15" customHeight="1" x14ac:dyDescent="0.35">
      <c r="A35" s="238">
        <f>A32+1</f>
        <v>15</v>
      </c>
      <c r="B35" s="86" t="s">
        <v>1084</v>
      </c>
      <c r="C35" s="87" t="s">
        <v>12</v>
      </c>
      <c r="D35" s="15">
        <v>380</v>
      </c>
      <c r="E35" s="15">
        <f>ROUND(D35*0.2,2)</f>
        <v>76</v>
      </c>
      <c r="F35" s="15">
        <f>D35+E35</f>
        <v>456</v>
      </c>
      <c r="G35" s="15"/>
      <c r="H35" s="15">
        <f>MROUND((D35*(1+Sheet1!$C$3)),0.1)+1.17</f>
        <v>391.67</v>
      </c>
      <c r="I35" s="15">
        <f>ROUND(H35*0.2,2)</f>
        <v>78.33</v>
      </c>
      <c r="J35" s="15">
        <f>H35+I35</f>
        <v>470</v>
      </c>
      <c r="K35" s="9">
        <f>J35-F35</f>
        <v>14</v>
      </c>
      <c r="L35" s="8">
        <f>IF(F35="","NEW",K35/F35)</f>
        <v>3.0701754385964911E-2</v>
      </c>
    </row>
    <row r="36" spans="1:12" ht="15" customHeight="1" x14ac:dyDescent="0.35">
      <c r="A36" s="238">
        <f>A35+1</f>
        <v>16</v>
      </c>
      <c r="B36" s="86" t="s">
        <v>1080</v>
      </c>
      <c r="C36" s="87" t="s">
        <v>12</v>
      </c>
      <c r="D36" s="15">
        <v>1100</v>
      </c>
      <c r="E36" s="15">
        <f>ROUND(D36*0.2,2)</f>
        <v>220</v>
      </c>
      <c r="F36" s="15">
        <f>D36+E36</f>
        <v>1320</v>
      </c>
      <c r="G36" s="15"/>
      <c r="H36" s="15">
        <f>MROUND((D36*(1+Sheet1!$C$3)),0.1)-1.13</f>
        <v>1129.1699999999998</v>
      </c>
      <c r="I36" s="15">
        <f>ROUND(H36*0.2,2)</f>
        <v>225.83</v>
      </c>
      <c r="J36" s="15">
        <f>H36+I36</f>
        <v>1354.9999999999998</v>
      </c>
      <c r="K36" s="9">
        <f>J36-F36</f>
        <v>34.999999999999773</v>
      </c>
      <c r="L36" s="8">
        <f>IF(F36="","NEW",K36/F36)</f>
        <v>2.6515151515151342E-2</v>
      </c>
    </row>
    <row r="37" spans="1:12" ht="15" customHeight="1" x14ac:dyDescent="0.35">
      <c r="A37" s="238">
        <f>A36+1</f>
        <v>17</v>
      </c>
      <c r="B37" s="86" t="s">
        <v>1081</v>
      </c>
      <c r="C37" s="87" t="s">
        <v>12</v>
      </c>
      <c r="D37" s="15">
        <v>550</v>
      </c>
      <c r="E37" s="15">
        <f>ROUND(D37*0.2,2)</f>
        <v>110</v>
      </c>
      <c r="F37" s="15">
        <f>D37+E37</f>
        <v>660</v>
      </c>
      <c r="G37" s="15"/>
      <c r="H37" s="15">
        <f>MROUND((D37*(1+Sheet1!$C$3)),0.1)+1.57</f>
        <v>566.67000000000007</v>
      </c>
      <c r="I37" s="15">
        <f>ROUND(H37*0.2,2)</f>
        <v>113.33</v>
      </c>
      <c r="J37" s="15">
        <f>H37+I37</f>
        <v>680.00000000000011</v>
      </c>
      <c r="K37" s="9">
        <f>J37-F37</f>
        <v>20.000000000000114</v>
      </c>
      <c r="L37" s="8">
        <f>IF(F37="","NEW",K37/F37)</f>
        <v>3.0303030303030474E-2</v>
      </c>
    </row>
    <row r="38" spans="1:12" ht="15" customHeight="1" x14ac:dyDescent="0.35">
      <c r="A38" s="238"/>
      <c r="B38" s="86"/>
      <c r="C38" s="87"/>
      <c r="D38" s="15"/>
      <c r="E38" s="15"/>
      <c r="F38" s="15"/>
      <c r="G38" s="15"/>
      <c r="H38" s="15"/>
      <c r="I38" s="15"/>
      <c r="J38" s="15"/>
      <c r="K38" s="9"/>
      <c r="L38" s="8"/>
    </row>
    <row r="39" spans="1:12" ht="15" customHeight="1" x14ac:dyDescent="0.35">
      <c r="A39" s="238">
        <f>A37+1</f>
        <v>18</v>
      </c>
      <c r="B39" s="86" t="s">
        <v>1086</v>
      </c>
      <c r="C39" s="87" t="s">
        <v>12</v>
      </c>
      <c r="D39" s="15">
        <v>190</v>
      </c>
      <c r="E39" s="15">
        <f>ROUND(D39*0.2,2)</f>
        <v>38</v>
      </c>
      <c r="F39" s="15">
        <f>D39+E39</f>
        <v>228</v>
      </c>
      <c r="G39" s="15"/>
      <c r="H39" s="15">
        <f>MROUND((D39*(1+Sheet1!$C$3)),0.1)+0.63</f>
        <v>195.83</v>
      </c>
      <c r="I39" s="15">
        <f>ROUND(H39*0.2,2)</f>
        <v>39.17</v>
      </c>
      <c r="J39" s="15">
        <f>H39+I39</f>
        <v>235</v>
      </c>
      <c r="K39" s="9">
        <f>J39-F39</f>
        <v>7</v>
      </c>
      <c r="L39" s="8">
        <f>IF(F39="","NEW",K39/F39)</f>
        <v>3.0701754385964911E-2</v>
      </c>
    </row>
    <row r="40" spans="1:12" ht="15" customHeight="1" x14ac:dyDescent="0.35">
      <c r="A40" s="238">
        <f>A39+1</f>
        <v>19</v>
      </c>
      <c r="B40" s="86" t="s">
        <v>1087</v>
      </c>
      <c r="C40" s="87" t="s">
        <v>12</v>
      </c>
      <c r="D40" s="15">
        <v>420</v>
      </c>
      <c r="E40" s="15">
        <f>ROUND(D40*0.2,2)</f>
        <v>84</v>
      </c>
      <c r="F40" s="15">
        <f>D40+E40</f>
        <v>504</v>
      </c>
      <c r="G40" s="15"/>
      <c r="H40" s="15">
        <f>MROUND((D40*(1+Sheet1!$C$3)),0.1)+1.73</f>
        <v>433.33000000000004</v>
      </c>
      <c r="I40" s="15">
        <f>ROUND(H40*0.2,2)</f>
        <v>86.67</v>
      </c>
      <c r="J40" s="15">
        <f>H40+I40</f>
        <v>520</v>
      </c>
      <c r="K40" s="9">
        <f>J40-F40</f>
        <v>16</v>
      </c>
      <c r="L40" s="8">
        <f>IF(F40="","NEW",K40/F40)</f>
        <v>3.1746031746031744E-2</v>
      </c>
    </row>
    <row r="41" spans="1:12" ht="31" x14ac:dyDescent="0.35">
      <c r="A41" s="238">
        <f>A40+1</f>
        <v>20</v>
      </c>
      <c r="B41" s="86" t="s">
        <v>1088</v>
      </c>
      <c r="C41" s="87" t="s">
        <v>12</v>
      </c>
      <c r="D41" s="15">
        <v>200</v>
      </c>
      <c r="E41" s="15">
        <f>ROUND(D41*0.2,2)</f>
        <v>40</v>
      </c>
      <c r="F41" s="15">
        <f>D41+E41</f>
        <v>240</v>
      </c>
      <c r="G41" s="15"/>
      <c r="H41" s="15">
        <f>MROUND((D41*(1+Sheet1!$C$3)),0.1)-1.33</f>
        <v>204.17</v>
      </c>
      <c r="I41" s="15">
        <f>ROUND(H41*0.2,2)</f>
        <v>40.83</v>
      </c>
      <c r="J41" s="15">
        <f>H41+I41</f>
        <v>245</v>
      </c>
      <c r="K41" s="9">
        <f>J41-F41</f>
        <v>5</v>
      </c>
      <c r="L41" s="8">
        <f>IF(F41="","NEW",K41/F41)</f>
        <v>2.0833333333333332E-2</v>
      </c>
    </row>
    <row r="42" spans="1:12" ht="15" customHeight="1" x14ac:dyDescent="0.35">
      <c r="A42" s="238"/>
      <c r="B42" s="86"/>
      <c r="C42" s="87"/>
      <c r="D42" s="15"/>
      <c r="E42" s="15"/>
      <c r="F42" s="15"/>
      <c r="G42" s="15"/>
      <c r="H42" s="15"/>
      <c r="I42" s="15"/>
      <c r="J42" s="15"/>
      <c r="K42" s="9"/>
      <c r="L42" s="8"/>
    </row>
    <row r="43" spans="1:12" ht="30" customHeight="1" thickBot="1" x14ac:dyDescent="0.4">
      <c r="A43" s="238"/>
      <c r="B43" s="263" t="s">
        <v>1089</v>
      </c>
      <c r="C43" s="87"/>
      <c r="D43" s="15"/>
      <c r="E43" s="65"/>
      <c r="F43" s="15"/>
      <c r="G43" s="15"/>
      <c r="H43" s="15"/>
      <c r="I43" s="65"/>
      <c r="J43" s="15"/>
      <c r="K43" s="9"/>
      <c r="L43" s="8"/>
    </row>
    <row r="44" spans="1:12" ht="15" customHeight="1" x14ac:dyDescent="0.35">
      <c r="A44" s="238">
        <f>A41+1</f>
        <v>21</v>
      </c>
      <c r="B44" s="86" t="s">
        <v>1090</v>
      </c>
      <c r="C44" s="87" t="s">
        <v>12</v>
      </c>
      <c r="D44" s="523" t="s">
        <v>1091</v>
      </c>
      <c r="E44" s="524"/>
      <c r="F44" s="524"/>
      <c r="G44" s="524"/>
      <c r="H44" s="524"/>
      <c r="I44" s="524"/>
      <c r="J44" s="524"/>
      <c r="K44" s="524"/>
      <c r="L44" s="525"/>
    </row>
    <row r="45" spans="1:12" ht="15" customHeight="1" x14ac:dyDescent="0.35">
      <c r="A45" s="238">
        <f>A44+1</f>
        <v>22</v>
      </c>
      <c r="B45" s="86" t="s">
        <v>1092</v>
      </c>
      <c r="C45" s="87" t="s">
        <v>12</v>
      </c>
      <c r="D45" s="15">
        <v>70</v>
      </c>
      <c r="E45" s="15">
        <f t="shared" ref="E45:E47" si="7">ROUND(D45*0.2,2)</f>
        <v>14</v>
      </c>
      <c r="F45" s="15">
        <f>D45+E45</f>
        <v>84</v>
      </c>
      <c r="G45" s="15"/>
      <c r="H45" s="15">
        <f>MROUND((D45*(1+Sheet1!$C$3)),0.1)+0.18</f>
        <v>72.080000000000013</v>
      </c>
      <c r="I45" s="15">
        <f t="shared" ref="I45:I47" si="8">ROUND(H45*0.2,2)</f>
        <v>14.42</v>
      </c>
      <c r="J45" s="15">
        <f>H45+I45</f>
        <v>86.500000000000014</v>
      </c>
      <c r="K45" s="9">
        <f>J45-F45</f>
        <v>2.5000000000000142</v>
      </c>
      <c r="L45" s="8">
        <f>IF(F45="","NEW",K45/F45)</f>
        <v>2.976190476190493E-2</v>
      </c>
    </row>
    <row r="46" spans="1:12" ht="15" customHeight="1" x14ac:dyDescent="0.35">
      <c r="A46" s="238">
        <f>A45+1</f>
        <v>23</v>
      </c>
      <c r="B46" s="86" t="s">
        <v>1093</v>
      </c>
      <c r="C46" s="87" t="s">
        <v>12</v>
      </c>
      <c r="D46" s="15">
        <v>200</v>
      </c>
      <c r="E46" s="15">
        <f t="shared" si="7"/>
        <v>40</v>
      </c>
      <c r="F46" s="15">
        <f>D46+E46</f>
        <v>240</v>
      </c>
      <c r="G46" s="15"/>
      <c r="H46" s="15">
        <f>MROUND((D46*(1+Sheet1!$C$3)),0.1)+0.33</f>
        <v>205.83</v>
      </c>
      <c r="I46" s="15">
        <f t="shared" si="8"/>
        <v>41.17</v>
      </c>
      <c r="J46" s="15">
        <f>H46+I46</f>
        <v>247</v>
      </c>
      <c r="K46" s="9">
        <f>J46-F46</f>
        <v>7</v>
      </c>
      <c r="L46" s="8">
        <f>IF(F46="","NEW",K46/F46)</f>
        <v>2.9166666666666667E-2</v>
      </c>
    </row>
    <row r="47" spans="1:12" ht="15" customHeight="1" x14ac:dyDescent="0.35">
      <c r="A47" s="238">
        <f>A46+1</f>
        <v>24</v>
      </c>
      <c r="B47" s="86" t="s">
        <v>1094</v>
      </c>
      <c r="C47" s="87" t="s">
        <v>12</v>
      </c>
      <c r="D47" s="15">
        <v>110</v>
      </c>
      <c r="E47" s="15">
        <f t="shared" si="7"/>
        <v>22</v>
      </c>
      <c r="F47" s="15">
        <f>D47+E47</f>
        <v>132</v>
      </c>
      <c r="G47" s="15"/>
      <c r="H47" s="15">
        <f>MROUND((D47*(1+Sheet1!$C$3)),0.1)-0.08</f>
        <v>112.92</v>
      </c>
      <c r="I47" s="15">
        <f t="shared" si="8"/>
        <v>22.58</v>
      </c>
      <c r="J47" s="15">
        <f>H47+I47</f>
        <v>135.5</v>
      </c>
      <c r="K47" s="9">
        <f>J47-F47</f>
        <v>3.5</v>
      </c>
      <c r="L47" s="8">
        <f>IF(F47="","NEW",K47/F47)</f>
        <v>2.6515151515151516E-2</v>
      </c>
    </row>
    <row r="48" spans="1:12" ht="15" customHeight="1" x14ac:dyDescent="0.35">
      <c r="A48" s="238"/>
      <c r="B48" s="86"/>
      <c r="C48" s="87"/>
      <c r="D48" s="15"/>
      <c r="E48" s="65"/>
      <c r="F48" s="15"/>
      <c r="G48" s="15"/>
      <c r="H48" s="15"/>
      <c r="I48" s="65"/>
      <c r="J48" s="15"/>
      <c r="K48" s="9"/>
      <c r="L48" s="8"/>
    </row>
    <row r="49" spans="1:12" ht="15" customHeight="1" thickBot="1" x14ac:dyDescent="0.4">
      <c r="A49" s="238"/>
      <c r="B49" s="264" t="s">
        <v>1095</v>
      </c>
      <c r="C49" s="87"/>
      <c r="D49" s="15"/>
      <c r="E49" s="65"/>
      <c r="F49" s="15"/>
      <c r="G49" s="15"/>
      <c r="H49" s="15"/>
      <c r="I49" s="65"/>
      <c r="J49" s="15"/>
      <c r="K49" s="9"/>
      <c r="L49" s="8"/>
    </row>
    <row r="50" spans="1:12" ht="31" x14ac:dyDescent="0.35">
      <c r="A50" s="238">
        <f>A47+1</f>
        <v>25</v>
      </c>
      <c r="B50" s="86" t="s">
        <v>1525</v>
      </c>
      <c r="C50" s="87" t="s">
        <v>12</v>
      </c>
      <c r="D50" s="15">
        <v>185</v>
      </c>
      <c r="E50" s="65"/>
      <c r="F50" s="15">
        <f>D50+E50</f>
        <v>185</v>
      </c>
      <c r="G50" s="15"/>
      <c r="H50" s="15">
        <f>MROUND((D50*(1+Sheet1!$C$3)),0.1)-0.1</f>
        <v>190.00000000000003</v>
      </c>
      <c r="I50" s="65"/>
      <c r="J50" s="15">
        <f>H50+I50</f>
        <v>190.00000000000003</v>
      </c>
      <c r="K50" s="9">
        <f>J50-F50</f>
        <v>5.0000000000000284</v>
      </c>
      <c r="L50" s="8">
        <f>IF(F50="","NEW",K50/F50)</f>
        <v>2.7027027027027181E-2</v>
      </c>
    </row>
    <row r="51" spans="1:12" ht="15" customHeight="1" x14ac:dyDescent="0.35">
      <c r="A51" s="238">
        <f>A50+1</f>
        <v>26</v>
      </c>
      <c r="B51" s="86" t="s">
        <v>1096</v>
      </c>
      <c r="C51" s="87" t="s">
        <v>12</v>
      </c>
      <c r="D51" s="15">
        <v>185</v>
      </c>
      <c r="E51" s="65"/>
      <c r="F51" s="15">
        <f>D51+E51</f>
        <v>185</v>
      </c>
      <c r="G51" s="15"/>
      <c r="H51" s="15">
        <f>MROUND((D51*(1+Sheet1!$C$3)),0.1)-0.1</f>
        <v>190.00000000000003</v>
      </c>
      <c r="I51" s="65"/>
      <c r="J51" s="15">
        <f>H51+I51</f>
        <v>190.00000000000003</v>
      </c>
      <c r="K51" s="9">
        <f>J51-F51</f>
        <v>5.0000000000000284</v>
      </c>
      <c r="L51" s="8">
        <f>IF(F51="","NEW",K51/F51)</f>
        <v>2.7027027027027181E-2</v>
      </c>
    </row>
    <row r="52" spans="1:12" ht="31" x14ac:dyDescent="0.35">
      <c r="A52" s="238">
        <f>A51+1</f>
        <v>27</v>
      </c>
      <c r="B52" s="86" t="s">
        <v>1097</v>
      </c>
      <c r="C52" s="87" t="s">
        <v>12</v>
      </c>
      <c r="D52" s="15">
        <v>185</v>
      </c>
      <c r="E52" s="65"/>
      <c r="F52" s="15">
        <f>D52+E52</f>
        <v>185</v>
      </c>
      <c r="G52" s="15"/>
      <c r="H52" s="15">
        <f>MROUND((D52*(1+Sheet1!$C$3)),0.1)-0.1</f>
        <v>190.00000000000003</v>
      </c>
      <c r="I52" s="65"/>
      <c r="J52" s="15">
        <f>H52+I52</f>
        <v>190.00000000000003</v>
      </c>
      <c r="K52" s="9">
        <f>J52-F52</f>
        <v>5.0000000000000284</v>
      </c>
      <c r="L52" s="8">
        <f>IF(F52="","NEW",K52/F52)</f>
        <v>2.7027027027027181E-2</v>
      </c>
    </row>
    <row r="53" spans="1:12" ht="15" customHeight="1" x14ac:dyDescent="0.35">
      <c r="A53" s="238"/>
      <c r="B53" s="86"/>
      <c r="C53" s="87"/>
      <c r="D53" s="15"/>
      <c r="E53" s="65"/>
      <c r="F53" s="15"/>
      <c r="G53" s="15"/>
      <c r="H53" s="15"/>
      <c r="I53" s="65"/>
      <c r="J53" s="15"/>
      <c r="K53" s="9"/>
      <c r="L53" s="8"/>
    </row>
    <row r="54" spans="1:12" ht="15" customHeight="1" thickBot="1" x14ac:dyDescent="0.4">
      <c r="A54" s="238"/>
      <c r="B54" s="264" t="s">
        <v>1098</v>
      </c>
      <c r="C54" s="87"/>
      <c r="D54" s="15"/>
      <c r="E54" s="65"/>
      <c r="F54" s="15"/>
      <c r="G54" s="15"/>
      <c r="H54" s="15"/>
      <c r="I54" s="65"/>
      <c r="J54" s="15"/>
      <c r="K54" s="9"/>
      <c r="L54" s="8"/>
    </row>
    <row r="55" spans="1:12" ht="15" customHeight="1" x14ac:dyDescent="0.35">
      <c r="A55" s="238">
        <f>A52+1</f>
        <v>28</v>
      </c>
      <c r="B55" s="86" t="s">
        <v>1099</v>
      </c>
      <c r="C55" s="87" t="s">
        <v>12</v>
      </c>
      <c r="D55" s="15">
        <v>185</v>
      </c>
      <c r="E55" s="15">
        <f>ROUND(D55*0.2,2)</f>
        <v>37</v>
      </c>
      <c r="F55" s="15">
        <f>D55+E55</f>
        <v>222</v>
      </c>
      <c r="G55" s="15"/>
      <c r="H55" s="15">
        <f>MROUND((D55*(1+Sheet1!$C$3)),0.1)+1.57</f>
        <v>191.67000000000002</v>
      </c>
      <c r="I55" s="15">
        <f>ROUND(H55*0.2,2)</f>
        <v>38.33</v>
      </c>
      <c r="J55" s="15">
        <f>H55+I55</f>
        <v>230</v>
      </c>
      <c r="K55" s="9">
        <f>J55-F55</f>
        <v>8</v>
      </c>
      <c r="L55" s="8">
        <f>IF(F55="","NEW",K55/F55)</f>
        <v>3.6036036036036036E-2</v>
      </c>
    </row>
    <row r="56" spans="1:12" ht="15" customHeight="1" x14ac:dyDescent="0.35">
      <c r="A56" s="238">
        <f>A55+1</f>
        <v>29</v>
      </c>
      <c r="B56" s="86" t="s">
        <v>1100</v>
      </c>
      <c r="C56" s="87" t="s">
        <v>12</v>
      </c>
      <c r="D56" s="15">
        <v>250</v>
      </c>
      <c r="E56" s="15">
        <f>ROUND(D56*0.2,2)</f>
        <v>50</v>
      </c>
      <c r="F56" s="15">
        <f>D56+E56</f>
        <v>300</v>
      </c>
      <c r="G56" s="15"/>
      <c r="H56" s="15">
        <f>MROUND((D56*(1+Sheet1!$C$3)),0.1)+1.43</f>
        <v>258.33000000000004</v>
      </c>
      <c r="I56" s="15">
        <f>ROUND(H56*0.2,2)</f>
        <v>51.67</v>
      </c>
      <c r="J56" s="15">
        <f>H56+I56</f>
        <v>310.00000000000006</v>
      </c>
      <c r="K56" s="9">
        <f>J56-F56</f>
        <v>10.000000000000057</v>
      </c>
      <c r="L56" s="8">
        <f>IF(F56="","NEW",K56/F56)</f>
        <v>3.333333333333352E-2</v>
      </c>
    </row>
    <row r="57" spans="1:12" ht="15" customHeight="1" x14ac:dyDescent="0.35">
      <c r="A57" s="238">
        <f>A56+1</f>
        <v>30</v>
      </c>
      <c r="B57" s="86" t="s">
        <v>1101</v>
      </c>
      <c r="C57" s="87" t="s">
        <v>12</v>
      </c>
      <c r="D57" s="15">
        <v>315</v>
      </c>
      <c r="E57" s="15">
        <f>ROUND(D57*0.2,2)</f>
        <v>63</v>
      </c>
      <c r="F57" s="15">
        <f>D57+E57</f>
        <v>378</v>
      </c>
      <c r="G57" s="15"/>
      <c r="H57" s="15">
        <f>MROUND((D57*(1+Sheet1!$C$3)),0.1)+0.05</f>
        <v>323.75000000000006</v>
      </c>
      <c r="I57" s="15">
        <f>ROUND(H57*0.2,2)</f>
        <v>64.75</v>
      </c>
      <c r="J57" s="15">
        <f>H57+I57</f>
        <v>388.50000000000006</v>
      </c>
      <c r="K57" s="9">
        <f>J57-F57</f>
        <v>10.500000000000057</v>
      </c>
      <c r="L57" s="8">
        <f>IF(F57="","NEW",K57/F57)</f>
        <v>2.7777777777777929E-2</v>
      </c>
    </row>
    <row r="58" spans="1:12" ht="15" customHeight="1" x14ac:dyDescent="0.35">
      <c r="A58" s="238"/>
      <c r="B58" s="86"/>
      <c r="C58" s="87"/>
      <c r="D58" s="15"/>
      <c r="E58" s="65"/>
      <c r="F58" s="15"/>
      <c r="G58" s="15"/>
      <c r="H58" s="15"/>
      <c r="I58" s="65"/>
      <c r="J58" s="15"/>
      <c r="K58" s="9"/>
      <c r="L58" s="8"/>
    </row>
    <row r="59" spans="1:12" ht="17" thickBot="1" x14ac:dyDescent="0.4">
      <c r="A59" s="238"/>
      <c r="B59" s="264" t="s">
        <v>1102</v>
      </c>
      <c r="C59" s="87"/>
      <c r="D59" s="15"/>
      <c r="E59" s="65"/>
      <c r="F59" s="15"/>
      <c r="G59" s="15"/>
      <c r="H59" s="15"/>
      <c r="I59" s="65"/>
      <c r="J59" s="15"/>
      <c r="K59" s="9"/>
      <c r="L59" s="8"/>
    </row>
    <row r="60" spans="1:12" ht="15" customHeight="1" x14ac:dyDescent="0.35">
      <c r="A60" s="238">
        <f>A57+1</f>
        <v>31</v>
      </c>
      <c r="B60" s="42" t="s">
        <v>1103</v>
      </c>
      <c r="C60" s="87" t="s">
        <v>12</v>
      </c>
      <c r="D60" s="15">
        <v>24</v>
      </c>
      <c r="E60" s="15"/>
      <c r="F60" s="15">
        <f>D60+E60</f>
        <v>24</v>
      </c>
      <c r="G60" s="15"/>
      <c r="H60" s="15">
        <f>MROUND((D60*(1+Sheet1!$C$3)),0.1)+0.3</f>
        <v>25.000000000000004</v>
      </c>
      <c r="I60" s="15"/>
      <c r="J60" s="15">
        <f>H60+I60</f>
        <v>25.000000000000004</v>
      </c>
      <c r="K60" s="9">
        <f>J60-F60</f>
        <v>1.0000000000000036</v>
      </c>
      <c r="L60" s="8">
        <f>IF(F60="","NEW",K60/F60)</f>
        <v>4.1666666666666817E-2</v>
      </c>
    </row>
    <row r="61" spans="1:12" ht="15" customHeight="1" x14ac:dyDescent="0.35">
      <c r="A61" s="238">
        <f>+A60+1</f>
        <v>32</v>
      </c>
      <c r="B61" s="42" t="s">
        <v>1104</v>
      </c>
      <c r="C61" s="87" t="s">
        <v>12</v>
      </c>
      <c r="D61" s="15">
        <v>185</v>
      </c>
      <c r="E61" s="15">
        <f>ROUND(D61*0.2,2)</f>
        <v>37</v>
      </c>
      <c r="F61" s="15">
        <f>D61+E61</f>
        <v>222</v>
      </c>
      <c r="G61" s="15"/>
      <c r="H61" s="15">
        <f>MROUND((D61*(1+Sheet1!$C$3)),0.1)+1.57</f>
        <v>191.67000000000002</v>
      </c>
      <c r="I61" s="15">
        <f>ROUND(H61*0.2,2)</f>
        <v>38.33</v>
      </c>
      <c r="J61" s="15">
        <f>H61+I61</f>
        <v>230</v>
      </c>
      <c r="K61" s="9">
        <f>J61-F61</f>
        <v>8</v>
      </c>
      <c r="L61" s="8">
        <f>IF(F61="","NEW",K61/F61)</f>
        <v>3.6036036036036036E-2</v>
      </c>
    </row>
    <row r="62" spans="1:12" ht="15" customHeight="1" x14ac:dyDescent="0.35">
      <c r="A62" s="238">
        <f>+A61+1</f>
        <v>33</v>
      </c>
      <c r="B62" s="42" t="s">
        <v>1105</v>
      </c>
      <c r="C62" s="87" t="s">
        <v>12</v>
      </c>
      <c r="D62" s="15">
        <v>35</v>
      </c>
      <c r="E62" s="15"/>
      <c r="F62" s="15">
        <f>D62+E62</f>
        <v>35</v>
      </c>
      <c r="G62" s="15"/>
      <c r="H62" s="15">
        <f>MROUND((D62*(1+Sheet1!$C$3)),0.1)</f>
        <v>36</v>
      </c>
      <c r="I62" s="15"/>
      <c r="J62" s="15">
        <f>H62+I62</f>
        <v>36</v>
      </c>
      <c r="K62" s="9">
        <f>J62-F62</f>
        <v>1</v>
      </c>
      <c r="L62" s="8">
        <f>IF(F62="","NEW",K62/F62)</f>
        <v>2.8571428571428571E-2</v>
      </c>
    </row>
    <row r="63" spans="1:12" ht="15" customHeight="1" x14ac:dyDescent="0.35">
      <c r="A63" s="238">
        <f>+A62+1</f>
        <v>34</v>
      </c>
      <c r="B63" s="42" t="s">
        <v>1106</v>
      </c>
      <c r="C63" s="87" t="s">
        <v>12</v>
      </c>
      <c r="D63" s="15">
        <v>105</v>
      </c>
      <c r="E63" s="15"/>
      <c r="F63" s="15">
        <f>D63+E63</f>
        <v>105</v>
      </c>
      <c r="G63" s="15"/>
      <c r="H63" s="15">
        <f>MROUND((D63*(1+Sheet1!$C$3)),0.1)+0.1</f>
        <v>108</v>
      </c>
      <c r="I63" s="15"/>
      <c r="J63" s="15">
        <f>H63+I63</f>
        <v>108</v>
      </c>
      <c r="K63" s="9">
        <f>J63-F63</f>
        <v>3</v>
      </c>
      <c r="L63" s="8">
        <f>IF(F63="","NEW",K63/F63)</f>
        <v>2.8571428571428571E-2</v>
      </c>
    </row>
    <row r="64" spans="1:12" ht="15" customHeight="1" x14ac:dyDescent="0.35">
      <c r="A64" s="238"/>
      <c r="B64" s="86"/>
      <c r="C64" s="87"/>
      <c r="D64" s="15"/>
      <c r="E64" s="15"/>
      <c r="F64" s="15"/>
      <c r="G64" s="15"/>
      <c r="H64" s="15"/>
      <c r="I64" s="15"/>
      <c r="J64" s="15"/>
      <c r="K64" s="9"/>
      <c r="L64" s="8"/>
    </row>
    <row r="65" spans="1:12" ht="17" thickBot="1" x14ac:dyDescent="0.4">
      <c r="A65" s="136"/>
      <c r="B65" s="264" t="s">
        <v>1107</v>
      </c>
      <c r="C65" s="87"/>
      <c r="D65" s="15"/>
      <c r="E65" s="10"/>
      <c r="F65" s="10"/>
      <c r="G65" s="10"/>
      <c r="H65" s="15"/>
      <c r="I65" s="10"/>
      <c r="J65" s="10"/>
      <c r="K65" s="9"/>
      <c r="L65" s="8"/>
    </row>
    <row r="66" spans="1:12" ht="15.5" x14ac:dyDescent="0.35">
      <c r="A66" s="136">
        <f>A63+1</f>
        <v>35</v>
      </c>
      <c r="B66" s="86" t="s">
        <v>1108</v>
      </c>
      <c r="C66" s="87" t="s">
        <v>12</v>
      </c>
      <c r="D66" s="15">
        <v>500</v>
      </c>
      <c r="E66" s="65"/>
      <c r="F66" s="15">
        <f>D66+E66</f>
        <v>500</v>
      </c>
      <c r="G66" s="10"/>
      <c r="H66" s="15">
        <f>MROUND((D66*(1+Sheet1!$C$3)),0.1)+1.2</f>
        <v>515.00000000000011</v>
      </c>
      <c r="I66" s="65"/>
      <c r="J66" s="15">
        <f>H66+I66</f>
        <v>515.00000000000011</v>
      </c>
      <c r="K66" s="9">
        <f>J66-F66</f>
        <v>15.000000000000114</v>
      </c>
      <c r="L66" s="8">
        <f>IF(F66="","NEW",K66/F66)</f>
        <v>3.0000000000000228E-2</v>
      </c>
    </row>
    <row r="67" spans="1:12" ht="15.5" x14ac:dyDescent="0.35">
      <c r="A67" s="136">
        <f>A66+1</f>
        <v>36</v>
      </c>
      <c r="B67" s="86" t="s">
        <v>1109</v>
      </c>
      <c r="C67" s="87" t="s">
        <v>12</v>
      </c>
      <c r="D67" s="15">
        <v>356</v>
      </c>
      <c r="E67" s="10"/>
      <c r="F67" s="15">
        <f>D67+E67</f>
        <v>356</v>
      </c>
      <c r="G67" s="10"/>
      <c r="H67" s="15">
        <f>MROUND((D67*(1+Sheet1!$C$3)),0.1)-0.8</f>
        <v>365</v>
      </c>
      <c r="I67" s="10"/>
      <c r="J67" s="15">
        <f>H67+I67</f>
        <v>365</v>
      </c>
      <c r="K67" s="9">
        <f>J67-F67</f>
        <v>9</v>
      </c>
      <c r="L67" s="8">
        <f>IF(F67="","NEW",K67/F67)</f>
        <v>2.5280898876404494E-2</v>
      </c>
    </row>
    <row r="68" spans="1:12" ht="15.5" x14ac:dyDescent="0.35">
      <c r="A68" s="136"/>
      <c r="B68" s="86"/>
      <c r="C68" s="87"/>
      <c r="D68" s="15"/>
      <c r="E68" s="243"/>
      <c r="F68" s="244"/>
      <c r="G68" s="243"/>
      <c r="H68" s="15"/>
      <c r="I68" s="243"/>
      <c r="J68" s="244"/>
      <c r="K68" s="9"/>
      <c r="L68" s="8"/>
    </row>
    <row r="69" spans="1:12" ht="15" customHeight="1" thickBot="1" x14ac:dyDescent="0.4">
      <c r="A69" s="136"/>
      <c r="B69" s="264" t="s">
        <v>1110</v>
      </c>
      <c r="C69" s="87"/>
      <c r="D69" s="15"/>
      <c r="E69" s="243"/>
      <c r="F69" s="243"/>
      <c r="G69" s="243"/>
      <c r="H69" s="15"/>
      <c r="I69" s="243"/>
      <c r="J69" s="243"/>
      <c r="K69" s="9"/>
      <c r="L69" s="8"/>
    </row>
    <row r="70" spans="1:12" ht="15" customHeight="1" x14ac:dyDescent="0.35">
      <c r="A70" s="136">
        <f>A67+1</f>
        <v>37</v>
      </c>
      <c r="B70" s="86" t="s">
        <v>1111</v>
      </c>
      <c r="C70" s="87" t="s">
        <v>12</v>
      </c>
      <c r="D70" s="15">
        <v>455</v>
      </c>
      <c r="E70" s="10"/>
      <c r="F70" s="15">
        <f>D70+E70</f>
        <v>455</v>
      </c>
      <c r="G70" s="10"/>
      <c r="H70" s="15">
        <f>MROUND((D70*(1+Sheet1!$C$3)),0.1)</f>
        <v>467.5</v>
      </c>
      <c r="I70" s="10"/>
      <c r="J70" s="15">
        <f>H70+I70</f>
        <v>467.5</v>
      </c>
      <c r="K70" s="9">
        <f>J70-F70</f>
        <v>12.5</v>
      </c>
      <c r="L70" s="8">
        <f>IF(F70="","NEW",K70/F70)</f>
        <v>2.7472527472527472E-2</v>
      </c>
    </row>
    <row r="71" spans="1:12" s="245" customFormat="1" ht="15" customHeight="1" x14ac:dyDescent="0.35">
      <c r="A71" s="136">
        <f>A70+1</f>
        <v>38</v>
      </c>
      <c r="B71" s="86" t="s">
        <v>1112</v>
      </c>
      <c r="C71" s="87" t="s">
        <v>12</v>
      </c>
      <c r="D71" s="15">
        <v>780</v>
      </c>
      <c r="E71" s="10"/>
      <c r="F71" s="15">
        <f>D71+E71</f>
        <v>780</v>
      </c>
      <c r="G71" s="10"/>
      <c r="H71" s="15">
        <f>MROUND((D71*(1+Sheet1!$C$3)),0.1)-1.5</f>
        <v>800</v>
      </c>
      <c r="I71" s="10"/>
      <c r="J71" s="15">
        <f>H71+I71</f>
        <v>800</v>
      </c>
      <c r="K71" s="9">
        <f>J71-F71</f>
        <v>20</v>
      </c>
      <c r="L71" s="8">
        <f>IF(F71="","NEW",K71/F71)</f>
        <v>2.564102564102564E-2</v>
      </c>
    </row>
    <row r="72" spans="1:12" s="245" customFormat="1" ht="15" customHeight="1" x14ac:dyDescent="0.35">
      <c r="A72" s="136">
        <f>A71+1</f>
        <v>39</v>
      </c>
      <c r="B72" s="86" t="s">
        <v>1113</v>
      </c>
      <c r="C72" s="87" t="s">
        <v>12</v>
      </c>
      <c r="D72" s="15">
        <v>1210</v>
      </c>
      <c r="E72" s="10"/>
      <c r="F72" s="15">
        <f>D72+E72</f>
        <v>1210</v>
      </c>
      <c r="G72" s="10"/>
      <c r="H72" s="15">
        <f>MROUND((D72*(1+Sheet1!$C$3)),0.1)+1.7</f>
        <v>1245.0000000000002</v>
      </c>
      <c r="I72" s="10"/>
      <c r="J72" s="15">
        <f>H72+I72</f>
        <v>1245.0000000000002</v>
      </c>
      <c r="K72" s="9">
        <f>J72-F72</f>
        <v>35.000000000000227</v>
      </c>
      <c r="L72" s="8">
        <f>IF(F72="","NEW",K72/F72)</f>
        <v>2.8925619834710932E-2</v>
      </c>
    </row>
    <row r="73" spans="1:12" ht="20.25" customHeight="1" x14ac:dyDescent="0.35">
      <c r="B73" s="86"/>
      <c r="C73" s="87"/>
    </row>
    <row r="74" spans="1:12" ht="15" customHeight="1" thickBot="1" x14ac:dyDescent="0.4">
      <c r="A74" s="136"/>
      <c r="B74" s="264" t="s">
        <v>1114</v>
      </c>
      <c r="C74" s="87"/>
      <c r="D74" s="15"/>
      <c r="E74" s="243"/>
      <c r="F74" s="243"/>
      <c r="G74" s="243"/>
      <c r="H74" s="15"/>
      <c r="I74" s="243"/>
      <c r="J74" s="243"/>
      <c r="K74" s="9"/>
      <c r="L74" s="8"/>
    </row>
    <row r="75" spans="1:12" ht="15" customHeight="1" x14ac:dyDescent="0.35">
      <c r="A75" s="136">
        <f>A72+1</f>
        <v>40</v>
      </c>
      <c r="B75" s="86" t="s">
        <v>1115</v>
      </c>
      <c r="C75" s="87" t="s">
        <v>12</v>
      </c>
      <c r="D75" s="15">
        <v>400</v>
      </c>
      <c r="E75" s="15">
        <f>ROUND(D75*0.2,2)</f>
        <v>80</v>
      </c>
      <c r="F75" s="15">
        <f>D75+E75</f>
        <v>480</v>
      </c>
      <c r="G75" s="10"/>
      <c r="H75" s="15">
        <f>MROUND((D75*(1+Sheet1!$C$3)),0.1)-1</f>
        <v>410</v>
      </c>
      <c r="I75" s="15">
        <f>ROUND(H75*0.2,2)</f>
        <v>82</v>
      </c>
      <c r="J75" s="15">
        <f>H75+I75</f>
        <v>492</v>
      </c>
      <c r="K75" s="9">
        <f>J75-F75</f>
        <v>12</v>
      </c>
      <c r="L75" s="8">
        <f>IF(F75="","NEW",K75/F75)</f>
        <v>2.5000000000000001E-2</v>
      </c>
    </row>
  </sheetData>
  <mergeCells count="5">
    <mergeCell ref="D44:L44"/>
    <mergeCell ref="A1:B1"/>
    <mergeCell ref="K1:L1"/>
    <mergeCell ref="C24:L24"/>
    <mergeCell ref="C29:L29"/>
  </mergeCells>
  <conditionalFormatting sqref="L5:L23 L25:L28">
    <cfRule type="cellIs" dxfId="11" priority="35" operator="equal">
      <formula>"NEW"</formula>
    </cfRule>
  </conditionalFormatting>
  <conditionalFormatting sqref="L30:L43">
    <cfRule type="cellIs" dxfId="10" priority="28" operator="equal">
      <formula>"NEW"</formula>
    </cfRule>
  </conditionalFormatting>
  <conditionalFormatting sqref="L45:L72">
    <cfRule type="cellIs" dxfId="9" priority="29" operator="equal">
      <formula>"NEW"</formula>
    </cfRule>
  </conditionalFormatting>
  <conditionalFormatting sqref="L74:L75">
    <cfRule type="cellIs" dxfId="8" priority="3" operator="equal">
      <formula>"NEW"</formula>
    </cfRule>
  </conditionalFormatting>
  <dataValidations count="1">
    <dataValidation type="list" allowBlank="1" showInputMessage="1" showErrorMessage="1" sqref="C5:C23 C25:C28 C30:C72 C74:C75" xr:uid="{D3F9A6C1-967B-4199-9085-F09A919EA38C}">
      <formula1>"Statutory, Full Cost Recovery, Discretionary, Third Party"</formula1>
    </dataValidation>
  </dataValidations>
  <hyperlinks>
    <hyperlink ref="B22" r:id="rId1" xr:uid="{1175870B-AD5C-46C0-95E1-5615EFD4B468}"/>
  </hyperlinks>
  <printOptions horizontalCentered="1"/>
  <pageMargins left="0.70866141732283472" right="0.70866141732283472" top="0.94488188976377963" bottom="0.74803149606299213" header="0.31496062992125984" footer="0.31496062992125984"/>
  <pageSetup paperSize="9" scale="56" fitToHeight="0" orientation="landscape" r:id="rId2"/>
  <headerFooter alignWithMargins="0">
    <oddHeader>&amp;L&amp;"Arial,Bold"&amp;16&amp;A&amp;C&amp;"Arial,Bold"&amp;16FEES AND CHARGES 2024/25</oddHeader>
    <oddFooter>&amp;L&amp;"Arial,Bold"&amp;16&amp;A&amp;C&amp;"Arial,Bold"&amp;16&amp;P</oddFooter>
  </headerFooter>
  <rowBreaks count="1" manualBreakCount="1">
    <brk id="42" max="11"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9174-5210-44BC-A0F0-1FBF1E1E7B2A}">
  <dimension ref="B2:G82"/>
  <sheetViews>
    <sheetView zoomScaleNormal="100" zoomScaleSheetLayoutView="85" workbookViewId="0"/>
  </sheetViews>
  <sheetFormatPr defaultRowHeight="14.5" x14ac:dyDescent="0.35"/>
  <cols>
    <col min="2" max="2" width="14.81640625" customWidth="1"/>
    <col min="3" max="3" width="41" bestFit="1" customWidth="1"/>
    <col min="4" max="4" width="32.1796875" customWidth="1"/>
    <col min="6" max="6" width="23.26953125" customWidth="1"/>
    <col min="7" max="7" width="6.54296875" customWidth="1"/>
    <col min="8" max="8" width="28.36328125" bestFit="1" customWidth="1"/>
  </cols>
  <sheetData>
    <row r="2" spans="2:6" ht="15" thickBot="1" x14ac:dyDescent="0.4"/>
    <row r="3" spans="2:6" x14ac:dyDescent="0.35">
      <c r="B3" s="633"/>
      <c r="C3" s="634"/>
      <c r="D3" s="634"/>
      <c r="E3" s="634"/>
      <c r="F3" s="635"/>
    </row>
    <row r="4" spans="2:6" ht="19.5" thickBot="1" x14ac:dyDescent="0.4">
      <c r="B4" s="636" t="s">
        <v>1116</v>
      </c>
      <c r="C4" s="637"/>
      <c r="D4" s="637"/>
      <c r="E4" s="637"/>
      <c r="F4" s="638"/>
    </row>
    <row r="5" spans="2:6" ht="21" customHeight="1" thickBot="1" x14ac:dyDescent="0.4">
      <c r="B5" s="639" t="s">
        <v>1524</v>
      </c>
      <c r="C5" s="640"/>
      <c r="D5" s="640"/>
      <c r="E5" s="640"/>
      <c r="F5" s="641"/>
    </row>
    <row r="6" spans="2:6" ht="18.5" thickBot="1" x14ac:dyDescent="0.4">
      <c r="B6" s="642"/>
      <c r="C6" s="644" t="s">
        <v>1117</v>
      </c>
      <c r="D6" s="324" t="s">
        <v>1118</v>
      </c>
      <c r="E6" s="646" t="s">
        <v>1118</v>
      </c>
      <c r="F6" s="647"/>
    </row>
    <row r="7" spans="2:6" ht="19" thickTop="1" thickBot="1" x14ac:dyDescent="0.4">
      <c r="B7" s="643"/>
      <c r="C7" s="645"/>
      <c r="D7" s="323" t="s">
        <v>1119</v>
      </c>
      <c r="E7" s="648" t="s">
        <v>1120</v>
      </c>
      <c r="F7" s="649"/>
    </row>
    <row r="8" spans="2:6" x14ac:dyDescent="0.35">
      <c r="B8" s="652">
        <v>1.1000000000000001</v>
      </c>
      <c r="C8" s="300" t="s">
        <v>1121</v>
      </c>
      <c r="D8" s="660" t="s">
        <v>1122</v>
      </c>
      <c r="E8" s="670" t="s">
        <v>1123</v>
      </c>
      <c r="F8" s="671"/>
    </row>
    <row r="9" spans="2:6" ht="15" thickBot="1" x14ac:dyDescent="0.4">
      <c r="B9" s="653"/>
      <c r="C9" s="301" t="s">
        <v>1124</v>
      </c>
      <c r="D9" s="653"/>
      <c r="E9" s="656"/>
      <c r="F9" s="657"/>
    </row>
    <row r="10" spans="2:6" ht="25" x14ac:dyDescent="0.35">
      <c r="B10" s="652">
        <v>1.2</v>
      </c>
      <c r="C10" s="300" t="s">
        <v>1125</v>
      </c>
      <c r="D10" s="652" t="s">
        <v>1126</v>
      </c>
      <c r="E10" s="654" t="s">
        <v>1127</v>
      </c>
      <c r="F10" s="655"/>
    </row>
    <row r="11" spans="2:6" ht="42.65" customHeight="1" thickBot="1" x14ac:dyDescent="0.4">
      <c r="B11" s="653"/>
      <c r="C11" s="302" t="s">
        <v>1128</v>
      </c>
      <c r="D11" s="653"/>
      <c r="E11" s="672" t="s">
        <v>1129</v>
      </c>
      <c r="F11" s="673"/>
    </row>
    <row r="12" spans="2:6" ht="15" thickBot="1" x14ac:dyDescent="0.4">
      <c r="B12" s="303">
        <v>1.3</v>
      </c>
      <c r="C12" s="302" t="s">
        <v>1130</v>
      </c>
      <c r="D12" s="302" t="s">
        <v>1122</v>
      </c>
      <c r="E12" s="650" t="s">
        <v>1123</v>
      </c>
      <c r="F12" s="651"/>
    </row>
    <row r="13" spans="2:6" ht="68.150000000000006" customHeight="1" x14ac:dyDescent="0.35">
      <c r="B13" s="652">
        <v>1.4</v>
      </c>
      <c r="C13" s="652" t="s">
        <v>1131</v>
      </c>
      <c r="D13" s="517" t="s">
        <v>1132</v>
      </c>
      <c r="E13" s="654" t="s">
        <v>1133</v>
      </c>
      <c r="F13" s="655"/>
    </row>
    <row r="14" spans="2:6" ht="15" thickBot="1" x14ac:dyDescent="0.4">
      <c r="B14" s="653"/>
      <c r="C14" s="653"/>
      <c r="D14" s="302" t="s">
        <v>1134</v>
      </c>
      <c r="E14" s="656"/>
      <c r="F14" s="657"/>
    </row>
    <row r="15" spans="2:6" ht="30" customHeight="1" thickBot="1" x14ac:dyDescent="0.4">
      <c r="B15" s="303">
        <v>1.5</v>
      </c>
      <c r="C15" s="302" t="s">
        <v>1135</v>
      </c>
      <c r="D15" s="304">
        <v>550</v>
      </c>
      <c r="E15" s="658">
        <v>825</v>
      </c>
      <c r="F15" s="659"/>
    </row>
    <row r="16" spans="2:6" ht="50" x14ac:dyDescent="0.35">
      <c r="B16" s="652">
        <v>1.6</v>
      </c>
      <c r="C16" s="300" t="s">
        <v>1136</v>
      </c>
      <c r="D16" s="661">
        <v>550</v>
      </c>
      <c r="E16" s="664">
        <v>550</v>
      </c>
      <c r="F16" s="665"/>
    </row>
    <row r="17" spans="2:6" x14ac:dyDescent="0.35">
      <c r="B17" s="660"/>
      <c r="C17" s="300"/>
      <c r="D17" s="662"/>
      <c r="E17" s="666"/>
      <c r="F17" s="667"/>
    </row>
    <row r="18" spans="2:6" ht="50.5" thickBot="1" x14ac:dyDescent="0.4">
      <c r="B18" s="653"/>
      <c r="C18" s="302" t="s">
        <v>1137</v>
      </c>
      <c r="D18" s="663"/>
      <c r="E18" s="668"/>
      <c r="F18" s="669"/>
    </row>
    <row r="19" spans="2:6" ht="32.5" customHeight="1" thickBot="1" x14ac:dyDescent="0.4">
      <c r="B19" s="303">
        <v>1.7</v>
      </c>
      <c r="C19" s="302" t="s">
        <v>1138</v>
      </c>
      <c r="D19" s="304">
        <v>550</v>
      </c>
      <c r="E19" s="658">
        <v>550</v>
      </c>
      <c r="F19" s="659"/>
    </row>
    <row r="20" spans="2:6" ht="25" customHeight="1" x14ac:dyDescent="0.35">
      <c r="B20" s="652">
        <v>1.8</v>
      </c>
      <c r="C20" s="652" t="s">
        <v>1139</v>
      </c>
      <c r="D20" s="305">
        <v>550</v>
      </c>
      <c r="E20" s="654" t="s">
        <v>1140</v>
      </c>
      <c r="F20" s="655"/>
    </row>
    <row r="21" spans="2:6" x14ac:dyDescent="0.35">
      <c r="B21" s="660"/>
      <c r="C21" s="660"/>
      <c r="D21" s="517"/>
      <c r="E21" s="680"/>
      <c r="F21" s="681"/>
    </row>
    <row r="22" spans="2:6" ht="38" thickBot="1" x14ac:dyDescent="0.4">
      <c r="B22" s="653"/>
      <c r="C22" s="653"/>
      <c r="D22" s="302" t="s">
        <v>1141</v>
      </c>
      <c r="E22" s="656" t="s">
        <v>1142</v>
      </c>
      <c r="F22" s="657"/>
    </row>
    <row r="23" spans="2:6" x14ac:dyDescent="0.35">
      <c r="B23" s="652">
        <v>1.9</v>
      </c>
      <c r="C23" s="652" t="s">
        <v>1143</v>
      </c>
      <c r="D23" s="305">
        <v>550</v>
      </c>
      <c r="E23" s="674">
        <v>550</v>
      </c>
      <c r="F23" s="675"/>
    </row>
    <row r="24" spans="2:6" x14ac:dyDescent="0.35">
      <c r="B24" s="660"/>
      <c r="C24" s="660"/>
      <c r="D24" s="517"/>
      <c r="E24" s="676"/>
      <c r="F24" s="677"/>
    </row>
    <row r="25" spans="2:6" ht="38" thickBot="1" x14ac:dyDescent="0.4">
      <c r="B25" s="653"/>
      <c r="C25" s="653"/>
      <c r="D25" s="302" t="s">
        <v>1144</v>
      </c>
      <c r="E25" s="678"/>
      <c r="F25" s="679"/>
    </row>
    <row r="26" spans="2:6" ht="25.5" thickBot="1" x14ac:dyDescent="0.4">
      <c r="B26" s="307" t="s">
        <v>1145</v>
      </c>
      <c r="C26" s="302" t="s">
        <v>1146</v>
      </c>
      <c r="D26" s="302" t="s">
        <v>915</v>
      </c>
      <c r="E26" s="658">
        <v>45</v>
      </c>
      <c r="F26" s="659"/>
    </row>
    <row r="27" spans="2:6" ht="15" thickBot="1" x14ac:dyDescent="0.4">
      <c r="B27" s="303">
        <v>1.1100000000000001</v>
      </c>
      <c r="C27" s="302" t="s">
        <v>1147</v>
      </c>
      <c r="D27" s="304">
        <v>275</v>
      </c>
      <c r="E27" s="650" t="s">
        <v>1148</v>
      </c>
      <c r="F27" s="651"/>
    </row>
    <row r="28" spans="2:6" ht="25.5" thickBot="1" x14ac:dyDescent="0.4">
      <c r="B28" s="303">
        <v>1.1200000000000001</v>
      </c>
      <c r="C28" s="302" t="s">
        <v>1149</v>
      </c>
      <c r="D28" s="304">
        <v>550</v>
      </c>
      <c r="E28" s="658">
        <v>550</v>
      </c>
      <c r="F28" s="659"/>
    </row>
    <row r="29" spans="2:6" ht="25.5" thickBot="1" x14ac:dyDescent="0.4">
      <c r="B29" s="303">
        <v>1.1299999999999999</v>
      </c>
      <c r="C29" s="302" t="s">
        <v>1150</v>
      </c>
      <c r="D29" s="304">
        <v>275</v>
      </c>
      <c r="E29" s="650"/>
      <c r="F29" s="651"/>
    </row>
    <row r="30" spans="2:6" ht="15" thickBot="1" x14ac:dyDescent="0.4">
      <c r="B30" s="303">
        <v>1.1399999999999999</v>
      </c>
      <c r="C30" s="302" t="s">
        <v>1151</v>
      </c>
      <c r="D30" s="302" t="s">
        <v>915</v>
      </c>
      <c r="E30" s="658">
        <v>330</v>
      </c>
      <c r="F30" s="659"/>
    </row>
    <row r="31" spans="2:6" ht="15" thickBot="1" x14ac:dyDescent="0.4">
      <c r="B31" s="303">
        <v>1.1499999999999999</v>
      </c>
      <c r="C31" s="302" t="s">
        <v>1152</v>
      </c>
      <c r="D31" s="302" t="s">
        <v>915</v>
      </c>
      <c r="E31" s="658">
        <v>330</v>
      </c>
      <c r="F31" s="659"/>
    </row>
    <row r="32" spans="2:6" ht="43.5" customHeight="1" x14ac:dyDescent="0.35">
      <c r="B32" s="652">
        <v>1.1599999999999999</v>
      </c>
      <c r="C32" s="652" t="s">
        <v>1153</v>
      </c>
      <c r="D32" s="517" t="s">
        <v>1154</v>
      </c>
      <c r="E32" s="697" t="s">
        <v>1155</v>
      </c>
      <c r="F32" s="698"/>
    </row>
    <row r="33" spans="2:7" ht="25.5" thickBot="1" x14ac:dyDescent="0.4">
      <c r="B33" s="653"/>
      <c r="C33" s="653"/>
      <c r="D33" s="302" t="s">
        <v>1156</v>
      </c>
      <c r="E33" s="689" t="s">
        <v>1157</v>
      </c>
      <c r="F33" s="690"/>
    </row>
    <row r="34" spans="2:7" ht="25.5" thickBot="1" x14ac:dyDescent="0.4">
      <c r="B34" s="303">
        <v>1.17</v>
      </c>
      <c r="C34" s="302" t="s">
        <v>1158</v>
      </c>
      <c r="D34" s="302" t="s">
        <v>1159</v>
      </c>
      <c r="E34" s="699">
        <v>300</v>
      </c>
      <c r="F34" s="700"/>
    </row>
    <row r="35" spans="2:7" ht="15" thickBot="1" x14ac:dyDescent="0.4">
      <c r="B35" s="303">
        <v>1.18</v>
      </c>
      <c r="C35" s="302" t="s">
        <v>1160</v>
      </c>
      <c r="D35" s="302" t="s">
        <v>1161</v>
      </c>
      <c r="E35" s="701" t="s">
        <v>915</v>
      </c>
      <c r="F35" s="702"/>
    </row>
    <row r="36" spans="2:7" ht="37.5" x14ac:dyDescent="0.35">
      <c r="B36" s="652">
        <v>1.19</v>
      </c>
      <c r="C36" s="652" t="s">
        <v>1162</v>
      </c>
      <c r="D36" s="300" t="s">
        <v>1163</v>
      </c>
      <c r="E36" s="703" t="s">
        <v>1164</v>
      </c>
      <c r="F36" s="704"/>
    </row>
    <row r="37" spans="2:7" x14ac:dyDescent="0.35">
      <c r="B37" s="660"/>
      <c r="C37" s="660"/>
      <c r="D37" s="517"/>
      <c r="E37" s="705"/>
      <c r="F37" s="706"/>
    </row>
    <row r="38" spans="2:7" ht="38.25" customHeight="1" thickBot="1" x14ac:dyDescent="0.4">
      <c r="B38" s="653"/>
      <c r="C38" s="653"/>
      <c r="D38" s="302" t="s">
        <v>1165</v>
      </c>
      <c r="E38" s="689" t="s">
        <v>1459</v>
      </c>
      <c r="F38" s="690"/>
    </row>
    <row r="39" spans="2:7" ht="18.5" thickBot="1" x14ac:dyDescent="0.4">
      <c r="B39" s="682"/>
      <c r="C39" s="683"/>
      <c r="D39" s="325"/>
      <c r="E39" s="691" t="s">
        <v>1166</v>
      </c>
      <c r="F39" s="692"/>
      <c r="G39" s="688"/>
    </row>
    <row r="40" spans="2:7" ht="19" thickTop="1" thickBot="1" x14ac:dyDescent="0.4">
      <c r="B40" s="684" t="s">
        <v>1167</v>
      </c>
      <c r="C40" s="685"/>
      <c r="D40" s="322" t="s">
        <v>1168</v>
      </c>
      <c r="E40" s="693"/>
      <c r="F40" s="694"/>
      <c r="G40" s="688"/>
    </row>
    <row r="41" spans="2:7" ht="19" thickTop="1" thickBot="1" x14ac:dyDescent="0.4">
      <c r="B41" s="686"/>
      <c r="C41" s="687"/>
      <c r="D41" s="326"/>
      <c r="E41" s="695"/>
      <c r="F41" s="696"/>
      <c r="G41" s="688"/>
    </row>
    <row r="42" spans="2:7" ht="38" thickBot="1" x14ac:dyDescent="0.4">
      <c r="B42" s="303">
        <v>2.1</v>
      </c>
      <c r="C42" s="302" t="s">
        <v>1169</v>
      </c>
      <c r="D42" s="302" t="s">
        <v>915</v>
      </c>
      <c r="E42" s="689" t="s">
        <v>915</v>
      </c>
      <c r="F42" s="690"/>
      <c r="G42" s="299"/>
    </row>
    <row r="43" spans="2:7" ht="25.5" thickBot="1" x14ac:dyDescent="0.4">
      <c r="B43" s="303">
        <v>2.2000000000000002</v>
      </c>
      <c r="C43" s="302" t="s">
        <v>1170</v>
      </c>
      <c r="D43" s="302" t="s">
        <v>915</v>
      </c>
      <c r="E43" s="701" t="s">
        <v>915</v>
      </c>
      <c r="F43" s="702"/>
      <c r="G43" s="299"/>
    </row>
    <row r="44" spans="2:7" ht="15" thickBot="1" x14ac:dyDescent="0.4">
      <c r="B44" s="303">
        <v>2.2999999999999998</v>
      </c>
      <c r="C44" s="302" t="s">
        <v>1171</v>
      </c>
      <c r="D44" s="302" t="s">
        <v>915</v>
      </c>
      <c r="E44" s="701" t="s">
        <v>915</v>
      </c>
      <c r="F44" s="702"/>
      <c r="G44" s="299"/>
    </row>
    <row r="45" spans="2:7" ht="15" thickBot="1" x14ac:dyDescent="0.4">
      <c r="B45" s="303">
        <v>2.4</v>
      </c>
      <c r="C45" s="302" t="s">
        <v>1172</v>
      </c>
      <c r="D45" s="302" t="s">
        <v>1173</v>
      </c>
      <c r="E45" s="701" t="s">
        <v>1174</v>
      </c>
      <c r="F45" s="702"/>
      <c r="G45" s="299"/>
    </row>
    <row r="46" spans="2:7" ht="18.5" thickBot="1" x14ac:dyDescent="0.4">
      <c r="B46" s="682"/>
      <c r="C46" s="683"/>
      <c r="D46" s="325"/>
      <c r="E46" s="691" t="s">
        <v>1166</v>
      </c>
      <c r="F46" s="692"/>
      <c r="G46" s="688"/>
    </row>
    <row r="47" spans="2:7" ht="19" thickTop="1" thickBot="1" x14ac:dyDescent="0.4">
      <c r="B47" s="684" t="s">
        <v>1175</v>
      </c>
      <c r="C47" s="685"/>
      <c r="D47" s="322" t="s">
        <v>1168</v>
      </c>
      <c r="E47" s="693"/>
      <c r="F47" s="694"/>
      <c r="G47" s="688"/>
    </row>
    <row r="48" spans="2:7" ht="19" thickTop="1" thickBot="1" x14ac:dyDescent="0.4">
      <c r="B48" s="686"/>
      <c r="C48" s="687"/>
      <c r="D48" s="326"/>
      <c r="E48" s="695"/>
      <c r="F48" s="696"/>
      <c r="G48" s="688"/>
    </row>
    <row r="49" spans="2:7" ht="15" thickBot="1" x14ac:dyDescent="0.4">
      <c r="B49" s="303">
        <v>3.1</v>
      </c>
      <c r="C49" s="302" t="s">
        <v>1176</v>
      </c>
      <c r="D49" s="302"/>
      <c r="E49" s="709">
        <v>25</v>
      </c>
      <c r="F49" s="710"/>
      <c r="G49" s="299"/>
    </row>
    <row r="50" spans="2:7" ht="38" thickBot="1" x14ac:dyDescent="0.4">
      <c r="B50" s="303">
        <v>3.2</v>
      </c>
      <c r="C50" s="302" t="s">
        <v>1177</v>
      </c>
      <c r="D50" s="302"/>
      <c r="E50" s="699">
        <v>45</v>
      </c>
      <c r="F50" s="700"/>
      <c r="G50" s="299"/>
    </row>
    <row r="51" spans="2:7" ht="15" thickBot="1" x14ac:dyDescent="0.4">
      <c r="B51" s="303">
        <v>3.3</v>
      </c>
      <c r="C51" s="302" t="s">
        <v>1178</v>
      </c>
      <c r="D51" s="304">
        <v>40</v>
      </c>
      <c r="E51" s="699">
        <v>385</v>
      </c>
      <c r="F51" s="700"/>
      <c r="G51" s="299"/>
    </row>
    <row r="52" spans="2:7" ht="18.5" thickBot="1" x14ac:dyDescent="0.4">
      <c r="B52" s="682"/>
      <c r="C52" s="683"/>
      <c r="D52" s="325"/>
      <c r="E52" s="691" t="s">
        <v>1166</v>
      </c>
      <c r="F52" s="692"/>
      <c r="G52" s="688"/>
    </row>
    <row r="53" spans="2:7" ht="19" thickTop="1" thickBot="1" x14ac:dyDescent="0.4">
      <c r="B53" s="684" t="s">
        <v>1179</v>
      </c>
      <c r="C53" s="685"/>
      <c r="D53" s="322" t="s">
        <v>1168</v>
      </c>
      <c r="E53" s="693"/>
      <c r="F53" s="694"/>
      <c r="G53" s="688"/>
    </row>
    <row r="54" spans="2:7" ht="19" thickTop="1" thickBot="1" x14ac:dyDescent="0.4">
      <c r="B54" s="686"/>
      <c r="C54" s="687"/>
      <c r="D54" s="326"/>
      <c r="E54" s="695"/>
      <c r="F54" s="696"/>
      <c r="G54" s="688"/>
    </row>
    <row r="55" spans="2:7" x14ac:dyDescent="0.35">
      <c r="B55" s="660">
        <v>4.0999999999999996</v>
      </c>
      <c r="C55" s="660" t="s">
        <v>1180</v>
      </c>
      <c r="D55" s="660" t="s">
        <v>915</v>
      </c>
      <c r="E55" s="707" t="s">
        <v>1181</v>
      </c>
      <c r="F55" s="708"/>
      <c r="G55" s="688"/>
    </row>
    <row r="56" spans="2:7" ht="25.5" customHeight="1" x14ac:dyDescent="0.35">
      <c r="B56" s="660"/>
      <c r="C56" s="660"/>
      <c r="D56" s="660"/>
      <c r="E56" s="707" t="s">
        <v>1182</v>
      </c>
      <c r="F56" s="708"/>
      <c r="G56" s="688"/>
    </row>
    <row r="57" spans="2:7" ht="15" thickBot="1" x14ac:dyDescent="0.4">
      <c r="B57" s="653"/>
      <c r="C57" s="653"/>
      <c r="D57" s="653"/>
      <c r="E57" s="689" t="s">
        <v>1183</v>
      </c>
      <c r="F57" s="690"/>
      <c r="G57" s="688"/>
    </row>
    <row r="58" spans="2:7" ht="15" thickBot="1" x14ac:dyDescent="0.4">
      <c r="B58" s="711" t="s">
        <v>1184</v>
      </c>
      <c r="C58" s="712"/>
      <c r="D58" s="713" t="s">
        <v>1168</v>
      </c>
      <c r="E58" s="691" t="s">
        <v>1166</v>
      </c>
      <c r="F58" s="692"/>
      <c r="G58" s="688"/>
    </row>
    <row r="59" spans="2:7" ht="15.5" thickTop="1" thickBot="1" x14ac:dyDescent="0.4">
      <c r="B59" s="686"/>
      <c r="C59" s="687"/>
      <c r="D59" s="714"/>
      <c r="E59" s="695"/>
      <c r="F59" s="696"/>
      <c r="G59" s="688"/>
    </row>
    <row r="60" spans="2:7" ht="15" thickBot="1" x14ac:dyDescent="0.4">
      <c r="B60" s="303">
        <v>5.0999999999999996</v>
      </c>
      <c r="C60" s="302" t="s">
        <v>1185</v>
      </c>
      <c r="D60" s="302" t="s">
        <v>979</v>
      </c>
      <c r="E60" s="689" t="s">
        <v>1186</v>
      </c>
      <c r="F60" s="690"/>
      <c r="G60" s="299"/>
    </row>
    <row r="61" spans="2:7" ht="25.5" thickBot="1" x14ac:dyDescent="0.4">
      <c r="B61" s="303">
        <v>5.2</v>
      </c>
      <c r="C61" s="302" t="s">
        <v>1187</v>
      </c>
      <c r="D61" s="302" t="s">
        <v>915</v>
      </c>
      <c r="E61" s="701" t="s">
        <v>764</v>
      </c>
      <c r="F61" s="702"/>
      <c r="G61" s="299"/>
    </row>
    <row r="62" spans="2:7" ht="25.5" thickBot="1" x14ac:dyDescent="0.4">
      <c r="B62" s="303">
        <v>5.3</v>
      </c>
      <c r="C62" s="302" t="s">
        <v>1188</v>
      </c>
      <c r="D62" s="304">
        <v>40</v>
      </c>
      <c r="E62" s="699">
        <v>30</v>
      </c>
      <c r="F62" s="700"/>
      <c r="G62" s="299"/>
    </row>
    <row r="63" spans="2:7" ht="25.5" customHeight="1" thickBot="1" x14ac:dyDescent="0.4">
      <c r="B63" s="303">
        <v>5.4</v>
      </c>
      <c r="C63" s="302" t="s">
        <v>1189</v>
      </c>
      <c r="D63" s="302" t="s">
        <v>915</v>
      </c>
      <c r="E63" s="701" t="s">
        <v>1190</v>
      </c>
      <c r="F63" s="702"/>
      <c r="G63" s="299"/>
    </row>
    <row r="64" spans="2:7" ht="15" thickBot="1" x14ac:dyDescent="0.4">
      <c r="B64" s="308">
        <v>5.5</v>
      </c>
      <c r="C64" s="306" t="s">
        <v>1191</v>
      </c>
      <c r="D64" s="306" t="s">
        <v>764</v>
      </c>
      <c r="E64" s="701" t="s">
        <v>764</v>
      </c>
      <c r="F64" s="702"/>
    </row>
    <row r="65" spans="2:6" ht="15" thickBot="1" x14ac:dyDescent="0.4">
      <c r="B65" s="303">
        <v>5.6</v>
      </c>
      <c r="C65" s="302" t="s">
        <v>1192</v>
      </c>
      <c r="D65" s="302" t="s">
        <v>1193</v>
      </c>
      <c r="E65" s="701" t="s">
        <v>1193</v>
      </c>
      <c r="F65" s="702"/>
    </row>
    <row r="66" spans="2:6" x14ac:dyDescent="0.35">
      <c r="B66" s="652">
        <v>5.7</v>
      </c>
      <c r="C66" s="652" t="s">
        <v>1194</v>
      </c>
      <c r="D66" s="321" t="s">
        <v>1195</v>
      </c>
      <c r="E66" s="703" t="s">
        <v>1195</v>
      </c>
      <c r="F66" s="704"/>
    </row>
    <row r="67" spans="2:6" x14ac:dyDescent="0.35">
      <c r="B67" s="660"/>
      <c r="C67" s="660"/>
      <c r="D67" s="300"/>
      <c r="E67" s="707"/>
      <c r="F67" s="708"/>
    </row>
    <row r="68" spans="2:6" ht="38" thickBot="1" x14ac:dyDescent="0.4">
      <c r="B68" s="653"/>
      <c r="C68" s="653"/>
      <c r="D68" s="302" t="s">
        <v>1196</v>
      </c>
      <c r="E68" s="689" t="s">
        <v>1196</v>
      </c>
      <c r="F68" s="690"/>
    </row>
    <row r="69" spans="2:6" x14ac:dyDescent="0.35">
      <c r="B69" s="718" t="s">
        <v>1197</v>
      </c>
      <c r="C69" s="719"/>
      <c r="D69" s="719"/>
      <c r="E69" s="719"/>
      <c r="F69" s="720"/>
    </row>
    <row r="70" spans="2:6" ht="14.5" customHeight="1" x14ac:dyDescent="0.35">
      <c r="B70" s="721"/>
      <c r="C70" s="722"/>
      <c r="D70" s="722"/>
      <c r="E70" s="722"/>
      <c r="F70" s="723"/>
    </row>
    <row r="71" spans="2:6" x14ac:dyDescent="0.35">
      <c r="B71" s="721"/>
      <c r="C71" s="722"/>
      <c r="D71" s="722"/>
      <c r="E71" s="722"/>
      <c r="F71" s="723"/>
    </row>
    <row r="72" spans="2:6" ht="17" thickBot="1" x14ac:dyDescent="0.4">
      <c r="B72" s="327" t="s">
        <v>1198</v>
      </c>
      <c r="C72" s="328" t="s">
        <v>1199</v>
      </c>
      <c r="D72" s="328" t="s">
        <v>1200</v>
      </c>
      <c r="E72" s="724" t="s">
        <v>1166</v>
      </c>
      <c r="F72" s="725"/>
    </row>
    <row r="73" spans="2:6" ht="22" customHeight="1" x14ac:dyDescent="0.35">
      <c r="B73" s="660" t="s">
        <v>1201</v>
      </c>
      <c r="C73" s="300" t="s">
        <v>1202</v>
      </c>
      <c r="D73" s="662">
        <v>165</v>
      </c>
      <c r="E73" s="726">
        <v>165</v>
      </c>
      <c r="F73" s="727"/>
    </row>
    <row r="74" spans="2:6" ht="22" customHeight="1" thickBot="1" x14ac:dyDescent="0.4">
      <c r="B74" s="653"/>
      <c r="C74" s="302" t="s">
        <v>1203</v>
      </c>
      <c r="D74" s="663"/>
      <c r="E74" s="709"/>
      <c r="F74" s="710"/>
    </row>
    <row r="75" spans="2:6" ht="25.5" thickBot="1" x14ac:dyDescent="0.4">
      <c r="B75" s="303" t="s">
        <v>1204</v>
      </c>
      <c r="C75" s="302" t="s">
        <v>1205</v>
      </c>
      <c r="D75" s="304">
        <v>138</v>
      </c>
      <c r="E75" s="699">
        <v>138</v>
      </c>
      <c r="F75" s="700"/>
    </row>
    <row r="76" spans="2:6" ht="49.5" customHeight="1" x14ac:dyDescent="0.35">
      <c r="B76" s="652" t="s">
        <v>1206</v>
      </c>
      <c r="C76" s="300" t="s">
        <v>1207</v>
      </c>
      <c r="D76" s="661">
        <v>110</v>
      </c>
      <c r="E76" s="716">
        <v>110</v>
      </c>
      <c r="F76" s="717"/>
    </row>
    <row r="77" spans="2:6" ht="15" thickBot="1" x14ac:dyDescent="0.4">
      <c r="B77" s="653"/>
      <c r="C77" s="302" t="s">
        <v>1208</v>
      </c>
      <c r="D77" s="663"/>
      <c r="E77" s="709"/>
      <c r="F77" s="710"/>
    </row>
    <row r="78" spans="2:6" ht="38" thickBot="1" x14ac:dyDescent="0.4">
      <c r="B78" s="303" t="s">
        <v>1209</v>
      </c>
      <c r="C78" s="302" t="s">
        <v>1210</v>
      </c>
      <c r="D78" s="304">
        <v>95</v>
      </c>
      <c r="E78" s="699">
        <v>95</v>
      </c>
      <c r="F78" s="700"/>
    </row>
    <row r="79" spans="2:6" ht="75.5" thickBot="1" x14ac:dyDescent="0.4">
      <c r="B79" s="303" t="s">
        <v>1460</v>
      </c>
      <c r="C79" s="302"/>
      <c r="D79" s="304">
        <v>65</v>
      </c>
      <c r="E79" s="699">
        <v>65</v>
      </c>
      <c r="F79" s="700"/>
    </row>
    <row r="80" spans="2:6" ht="25.5" thickBot="1" x14ac:dyDescent="0.4">
      <c r="B80" s="303" t="s">
        <v>1461</v>
      </c>
      <c r="C80" s="302"/>
      <c r="D80" s="304">
        <v>50</v>
      </c>
      <c r="E80" s="699">
        <v>50</v>
      </c>
      <c r="F80" s="700"/>
    </row>
    <row r="82" spans="2:6" ht="33" customHeight="1" x14ac:dyDescent="0.35">
      <c r="B82" s="715" t="s">
        <v>1523</v>
      </c>
      <c r="C82" s="715"/>
      <c r="D82" s="715"/>
      <c r="E82" s="715"/>
      <c r="F82" s="715"/>
    </row>
  </sheetData>
  <mergeCells count="105">
    <mergeCell ref="B82:F82"/>
    <mergeCell ref="E75:F75"/>
    <mergeCell ref="E76:F77"/>
    <mergeCell ref="E78:F78"/>
    <mergeCell ref="E79:F79"/>
    <mergeCell ref="E80:F80"/>
    <mergeCell ref="B76:B77"/>
    <mergeCell ref="D76:D77"/>
    <mergeCell ref="E64:F64"/>
    <mergeCell ref="E65:F65"/>
    <mergeCell ref="E66:F66"/>
    <mergeCell ref="E67:F67"/>
    <mergeCell ref="E68:F68"/>
    <mergeCell ref="B69:F71"/>
    <mergeCell ref="E72:F72"/>
    <mergeCell ref="B73:B74"/>
    <mergeCell ref="D73:D74"/>
    <mergeCell ref="E73:F74"/>
    <mergeCell ref="E58:F59"/>
    <mergeCell ref="E60:F60"/>
    <mergeCell ref="E61:F61"/>
    <mergeCell ref="E62:F62"/>
    <mergeCell ref="E63:F63"/>
    <mergeCell ref="B66:B68"/>
    <mergeCell ref="C66:C68"/>
    <mergeCell ref="E42:F42"/>
    <mergeCell ref="E43:F43"/>
    <mergeCell ref="E44:F44"/>
    <mergeCell ref="E45:F45"/>
    <mergeCell ref="E46:F48"/>
    <mergeCell ref="E49:F49"/>
    <mergeCell ref="B58:C59"/>
    <mergeCell ref="D58:D59"/>
    <mergeCell ref="E51:F51"/>
    <mergeCell ref="G58:G59"/>
    <mergeCell ref="E32:F32"/>
    <mergeCell ref="E33:F33"/>
    <mergeCell ref="E34:F34"/>
    <mergeCell ref="E35:F35"/>
    <mergeCell ref="E36:F36"/>
    <mergeCell ref="E37:F37"/>
    <mergeCell ref="B54:C54"/>
    <mergeCell ref="G52:G54"/>
    <mergeCell ref="B55:B57"/>
    <mergeCell ref="C55:C57"/>
    <mergeCell ref="D55:D57"/>
    <mergeCell ref="G55:G57"/>
    <mergeCell ref="E52:F54"/>
    <mergeCell ref="E55:F55"/>
    <mergeCell ref="E56:F56"/>
    <mergeCell ref="E57:F57"/>
    <mergeCell ref="B46:C46"/>
    <mergeCell ref="B47:C47"/>
    <mergeCell ref="B48:C48"/>
    <mergeCell ref="G46:G48"/>
    <mergeCell ref="B52:C52"/>
    <mergeCell ref="B53:C53"/>
    <mergeCell ref="E50:F50"/>
    <mergeCell ref="B36:B38"/>
    <mergeCell ref="C36:C38"/>
    <mergeCell ref="B39:C39"/>
    <mergeCell ref="B40:C40"/>
    <mergeCell ref="B41:C41"/>
    <mergeCell ref="G39:G41"/>
    <mergeCell ref="E38:F38"/>
    <mergeCell ref="E39:F41"/>
    <mergeCell ref="E29:F29"/>
    <mergeCell ref="E30:F30"/>
    <mergeCell ref="E31:F31"/>
    <mergeCell ref="B32:B33"/>
    <mergeCell ref="C32:C33"/>
    <mergeCell ref="B23:B25"/>
    <mergeCell ref="C23:C25"/>
    <mergeCell ref="E23:F25"/>
    <mergeCell ref="E26:F26"/>
    <mergeCell ref="E27:F27"/>
    <mergeCell ref="E28:F28"/>
    <mergeCell ref="E19:F19"/>
    <mergeCell ref="B20:B22"/>
    <mergeCell ref="C20:C22"/>
    <mergeCell ref="E20:F20"/>
    <mergeCell ref="E21:F21"/>
    <mergeCell ref="E22:F22"/>
    <mergeCell ref="E15:F15"/>
    <mergeCell ref="B16:B18"/>
    <mergeCell ref="D16:D18"/>
    <mergeCell ref="E16:F18"/>
    <mergeCell ref="B8:B9"/>
    <mergeCell ref="D8:D9"/>
    <mergeCell ref="E8:F9"/>
    <mergeCell ref="B10:B11"/>
    <mergeCell ref="D10:D11"/>
    <mergeCell ref="E10:F10"/>
    <mergeCell ref="E11:F11"/>
    <mergeCell ref="B3:F3"/>
    <mergeCell ref="B4:F4"/>
    <mergeCell ref="B5:F5"/>
    <mergeCell ref="B6:B7"/>
    <mergeCell ref="C6:C7"/>
    <mergeCell ref="E6:F6"/>
    <mergeCell ref="E7:F7"/>
    <mergeCell ref="E12:F12"/>
    <mergeCell ref="B13:B14"/>
    <mergeCell ref="C13:C14"/>
    <mergeCell ref="E13:F14"/>
  </mergeCells>
  <hyperlinks>
    <hyperlink ref="C9" location="_ftn1" display="_ftn1" xr:uid="{70D8F6E7-B2A4-4C0F-AAFF-040DA17F3B55}"/>
  </hyperlinks>
  <pageMargins left="0.70866141732283472" right="0.70866141732283472" top="0.94488188976377963" bottom="0.74803149606299213" header="0.31496062992125984" footer="0.31496062992125984"/>
  <pageSetup paperSize="9" scale="64" orientation="portrait" r:id="rId1"/>
  <headerFooter alignWithMargins="0">
    <oddHeader>&amp;L&amp;"Arial,Bold"&amp;16&amp;A&amp;C&amp;"Arial,Bold"&amp;16FEES AND CHARGES 2024/25</oddHeader>
    <oddFooter>&amp;L&amp;"Arial,Bold"&amp;16&amp;A&amp;C&amp;"Arial,Bold"&amp;16&amp;P</oddFooter>
  </headerFooter>
  <rowBreaks count="1" manualBreakCount="1">
    <brk id="4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221E-7713-4664-888F-4724E766A5AC}">
  <dimension ref="A1:N122"/>
  <sheetViews>
    <sheetView zoomScaleNormal="100" zoomScaleSheetLayoutView="65" workbookViewId="0">
      <selection sqref="A1:B1"/>
    </sheetView>
  </sheetViews>
  <sheetFormatPr defaultColWidth="9.1796875" defaultRowHeight="15.5" x14ac:dyDescent="0.35"/>
  <cols>
    <col min="1" max="1" width="5.7265625" style="250" customWidth="1"/>
    <col min="2" max="2" width="100.7265625" style="117" customWidth="1"/>
    <col min="3" max="3" width="21" style="117" bestFit="1" customWidth="1"/>
    <col min="4" max="4" width="16" style="79" customWidth="1"/>
    <col min="5" max="5" width="13.7265625" style="79" customWidth="1"/>
    <col min="6" max="6" width="16.26953125" style="79" customWidth="1"/>
    <col min="7" max="7" width="3.7265625" style="79" customWidth="1"/>
    <col min="8" max="8" width="17.7265625" style="249" customWidth="1"/>
    <col min="9" max="9" width="14.1796875" style="249" customWidth="1"/>
    <col min="10" max="10" width="19.54296875" style="249" customWidth="1"/>
    <col min="11" max="11" width="11.1796875" style="249" customWidth="1"/>
    <col min="12" max="12" width="11.26953125" style="249" customWidth="1"/>
    <col min="13" max="16384" width="9.1796875" style="249"/>
  </cols>
  <sheetData>
    <row r="1" spans="1:12" s="202" customFormat="1" ht="76.5" thickBot="1" x14ac:dyDescent="0.45">
      <c r="A1" s="728" t="s">
        <v>1</v>
      </c>
      <c r="B1" s="729"/>
      <c r="C1" s="26" t="s">
        <v>2</v>
      </c>
      <c r="D1" s="26" t="s">
        <v>3</v>
      </c>
      <c r="E1" s="26" t="s">
        <v>4</v>
      </c>
      <c r="F1" s="26" t="s">
        <v>5</v>
      </c>
      <c r="G1" s="26"/>
      <c r="H1" s="26" t="s">
        <v>6</v>
      </c>
      <c r="I1" s="26" t="s">
        <v>4</v>
      </c>
      <c r="J1" s="26" t="s">
        <v>7</v>
      </c>
      <c r="K1" s="522" t="s">
        <v>8</v>
      </c>
      <c r="L1" s="522"/>
    </row>
    <row r="2" spans="1:12" ht="16.5" customHeight="1" thickTop="1" x14ac:dyDescent="0.35">
      <c r="A2" s="246"/>
      <c r="B2" s="247"/>
      <c r="C2" s="247"/>
      <c r="D2" s="81"/>
      <c r="E2" s="81"/>
      <c r="F2" s="81"/>
      <c r="G2" s="81"/>
      <c r="H2" s="81"/>
      <c r="I2" s="81"/>
      <c r="J2" s="81"/>
      <c r="K2" s="248"/>
      <c r="L2" s="248"/>
    </row>
    <row r="3" spans="1:12" x14ac:dyDescent="0.35">
      <c r="A3" s="246"/>
      <c r="B3" s="329"/>
      <c r="C3" s="247"/>
      <c r="D3" s="22" t="s">
        <v>9</v>
      </c>
      <c r="E3" s="22" t="s">
        <v>9</v>
      </c>
      <c r="F3" s="22" t="s">
        <v>9</v>
      </c>
      <c r="G3" s="22"/>
      <c r="H3" s="22" t="s">
        <v>9</v>
      </c>
      <c r="I3" s="22" t="s">
        <v>9</v>
      </c>
      <c r="J3" s="22" t="s">
        <v>9</v>
      </c>
      <c r="K3" s="21" t="s">
        <v>9</v>
      </c>
      <c r="L3" s="20" t="s">
        <v>10</v>
      </c>
    </row>
    <row r="4" spans="1:12" ht="18.5" thickBot="1" x14ac:dyDescent="0.4">
      <c r="A4" s="453"/>
      <c r="B4" s="278" t="s">
        <v>1211</v>
      </c>
      <c r="C4" s="16" t="s">
        <v>19</v>
      </c>
      <c r="D4" s="730" t="s">
        <v>1462</v>
      </c>
      <c r="E4" s="731"/>
      <c r="F4" s="732"/>
      <c r="G4" s="28"/>
      <c r="H4" s="523" t="s">
        <v>1463</v>
      </c>
      <c r="I4" s="524"/>
      <c r="J4" s="525"/>
      <c r="K4" s="18"/>
      <c r="L4" s="18"/>
    </row>
    <row r="5" spans="1:12" ht="17.5" thickTop="1" thickBot="1" x14ac:dyDescent="0.4">
      <c r="A5" s="454"/>
      <c r="B5" s="285" t="s">
        <v>1212</v>
      </c>
      <c r="C5" s="16"/>
      <c r="D5" s="10"/>
      <c r="E5" s="10"/>
      <c r="F5" s="10"/>
      <c r="G5" s="10"/>
      <c r="H5" s="10"/>
      <c r="I5" s="10"/>
      <c r="J5" s="10"/>
      <c r="K5" s="41"/>
      <c r="L5" s="8"/>
    </row>
    <row r="6" spans="1:12" ht="17" thickBot="1" x14ac:dyDescent="0.4">
      <c r="A6" s="454"/>
      <c r="B6" s="285" t="s">
        <v>1213</v>
      </c>
      <c r="C6" s="16"/>
      <c r="D6" s="10"/>
      <c r="E6" s="10"/>
      <c r="F6" s="10"/>
      <c r="G6" s="10"/>
      <c r="H6" s="10"/>
      <c r="I6" s="10"/>
      <c r="J6" s="10"/>
      <c r="K6" s="41"/>
      <c r="L6" s="8"/>
    </row>
    <row r="7" spans="1:12" x14ac:dyDescent="0.35">
      <c r="A7" s="454"/>
      <c r="B7" s="455"/>
      <c r="C7" s="16"/>
      <c r="D7" s="10"/>
      <c r="E7" s="10"/>
      <c r="F7" s="10"/>
      <c r="G7" s="10"/>
      <c r="H7" s="10"/>
      <c r="I7" s="10"/>
      <c r="J7" s="10"/>
      <c r="K7" s="41"/>
      <c r="L7" s="8"/>
    </row>
    <row r="8" spans="1:12" ht="17" thickBot="1" x14ac:dyDescent="0.4">
      <c r="B8" s="285" t="s">
        <v>1214</v>
      </c>
      <c r="C8" s="16"/>
      <c r="D8" s="10"/>
      <c r="E8" s="10"/>
      <c r="F8" s="10"/>
      <c r="G8" s="10"/>
      <c r="H8" s="10"/>
      <c r="I8" s="10"/>
      <c r="J8" s="10"/>
      <c r="K8" s="41"/>
      <c r="L8" s="8"/>
    </row>
    <row r="9" spans="1:12" x14ac:dyDescent="0.35">
      <c r="A9" s="456"/>
      <c r="B9" s="457" t="s">
        <v>1215</v>
      </c>
      <c r="C9" s="16"/>
      <c r="D9" s="10"/>
      <c r="E9" s="10"/>
      <c r="F9" s="10"/>
      <c r="G9" s="10"/>
      <c r="H9" s="10"/>
      <c r="I9" s="10"/>
      <c r="J9" s="10"/>
      <c r="K9" s="41"/>
      <c r="L9" s="8"/>
    </row>
    <row r="10" spans="1:12" x14ac:dyDescent="0.35">
      <c r="A10" s="456">
        <v>1</v>
      </c>
      <c r="B10" s="458" t="s">
        <v>1216</v>
      </c>
      <c r="C10" s="16" t="s">
        <v>19</v>
      </c>
      <c r="D10" s="15">
        <v>12.5</v>
      </c>
      <c r="E10" s="15"/>
      <c r="F10" s="15">
        <f>SUM(D10:E10)</f>
        <v>12.5</v>
      </c>
      <c r="G10" s="15"/>
      <c r="H10" s="15">
        <v>12.5</v>
      </c>
      <c r="I10" s="15"/>
      <c r="J10" s="15">
        <f>SUM(H10:I10)</f>
        <v>12.5</v>
      </c>
      <c r="K10" s="9">
        <f>J10-F10</f>
        <v>0</v>
      </c>
      <c r="L10" s="8">
        <f>IF(F10="","NEW",K10/F10)</f>
        <v>0</v>
      </c>
    </row>
    <row r="11" spans="1:12" x14ac:dyDescent="0.35">
      <c r="A11" s="456">
        <f>1+A10</f>
        <v>2</v>
      </c>
      <c r="B11" s="458" t="s">
        <v>1217</v>
      </c>
      <c r="C11" s="16" t="s">
        <v>19</v>
      </c>
      <c r="D11" s="15">
        <v>12.5</v>
      </c>
      <c r="E11" s="15"/>
      <c r="F11" s="15">
        <f>SUM(D11:E11)</f>
        <v>12.5</v>
      </c>
      <c r="G11" s="15"/>
      <c r="H11" s="15">
        <v>12.5</v>
      </c>
      <c r="I11" s="15"/>
      <c r="J11" s="15">
        <f>SUM(H11:I11)</f>
        <v>12.5</v>
      </c>
      <c r="K11" s="9">
        <f>J11-F11</f>
        <v>0</v>
      </c>
      <c r="L11" s="8">
        <f>IF(F11="","NEW",K11/F11)</f>
        <v>0</v>
      </c>
    </row>
    <row r="12" spans="1:12" x14ac:dyDescent="0.35">
      <c r="A12" s="459">
        <f>1+A11</f>
        <v>3</v>
      </c>
      <c r="B12" s="458" t="s">
        <v>1218</v>
      </c>
      <c r="C12" s="16" t="s">
        <v>19</v>
      </c>
      <c r="D12" s="15">
        <v>12.5</v>
      </c>
      <c r="E12" s="15"/>
      <c r="F12" s="15">
        <f>SUM(D12:E12)</f>
        <v>12.5</v>
      </c>
      <c r="G12" s="15"/>
      <c r="H12" s="15">
        <v>12.5</v>
      </c>
      <c r="I12" s="15"/>
      <c r="J12" s="15">
        <f>SUM(H12:I12)</f>
        <v>12.5</v>
      </c>
      <c r="K12" s="9">
        <f>J12-F12</f>
        <v>0</v>
      </c>
      <c r="L12" s="8">
        <f>IF(F12="","NEW",K12/F12)</f>
        <v>0</v>
      </c>
    </row>
    <row r="13" spans="1:12" x14ac:dyDescent="0.35">
      <c r="A13" s="460"/>
      <c r="B13" s="108"/>
      <c r="C13" s="16"/>
      <c r="D13" s="15"/>
      <c r="E13" s="15"/>
      <c r="F13" s="461"/>
      <c r="G13" s="461"/>
      <c r="H13" s="15"/>
      <c r="I13" s="15"/>
      <c r="J13" s="461"/>
      <c r="K13" s="9"/>
      <c r="L13" s="8"/>
    </row>
    <row r="14" spans="1:12" ht="17" thickBot="1" x14ac:dyDescent="0.4">
      <c r="A14" s="462"/>
      <c r="B14" s="271" t="s">
        <v>1219</v>
      </c>
      <c r="C14" s="16"/>
      <c r="D14" s="15"/>
      <c r="E14" s="15"/>
      <c r="F14" s="461"/>
      <c r="G14" s="461"/>
      <c r="H14" s="15"/>
      <c r="I14" s="15"/>
      <c r="J14" s="461"/>
      <c r="K14" s="9"/>
      <c r="L14" s="8"/>
    </row>
    <row r="15" spans="1:12" x14ac:dyDescent="0.35">
      <c r="A15" s="462">
        <f>1+A12</f>
        <v>4</v>
      </c>
      <c r="B15" s="458" t="s">
        <v>1220</v>
      </c>
      <c r="C15" s="16" t="s">
        <v>19</v>
      </c>
      <c r="D15" s="15">
        <v>12.5</v>
      </c>
      <c r="E15" s="15"/>
      <c r="F15" s="15">
        <f t="shared" ref="F15:F21" si="0">SUM(D15:E15)</f>
        <v>12.5</v>
      </c>
      <c r="G15" s="15"/>
      <c r="H15" s="15">
        <v>12.5</v>
      </c>
      <c r="I15" s="15"/>
      <c r="J15" s="15">
        <f t="shared" ref="J15:J22" si="1">SUM(H15:I15)</f>
        <v>12.5</v>
      </c>
      <c r="K15" s="9">
        <f t="shared" ref="K15:K22" si="2">J15-F15</f>
        <v>0</v>
      </c>
      <c r="L15" s="8">
        <f t="shared" ref="L15:L22" si="3">IF(F15="","NEW",K15/F15)</f>
        <v>0</v>
      </c>
    </row>
    <row r="16" spans="1:12" x14ac:dyDescent="0.35">
      <c r="A16" s="462">
        <f t="shared" ref="A16:A22" si="4">1+A15</f>
        <v>5</v>
      </c>
      <c r="B16" s="458" t="s">
        <v>1221</v>
      </c>
      <c r="C16" s="16" t="s">
        <v>19</v>
      </c>
      <c r="D16" s="15">
        <v>12.5</v>
      </c>
      <c r="E16" s="15"/>
      <c r="F16" s="15">
        <f t="shared" si="0"/>
        <v>12.5</v>
      </c>
      <c r="G16" s="15"/>
      <c r="H16" s="15">
        <v>12.5</v>
      </c>
      <c r="I16" s="15"/>
      <c r="J16" s="15">
        <f t="shared" si="1"/>
        <v>12.5</v>
      </c>
      <c r="K16" s="9">
        <f t="shared" si="2"/>
        <v>0</v>
      </c>
      <c r="L16" s="8">
        <f t="shared" si="3"/>
        <v>0</v>
      </c>
    </row>
    <row r="17" spans="1:12" x14ac:dyDescent="0.35">
      <c r="A17" s="462">
        <f t="shared" si="4"/>
        <v>6</v>
      </c>
      <c r="B17" s="458" t="s">
        <v>1222</v>
      </c>
      <c r="C17" s="16" t="s">
        <v>19</v>
      </c>
      <c r="D17" s="15">
        <v>44</v>
      </c>
      <c r="E17" s="15"/>
      <c r="F17" s="15">
        <f t="shared" si="0"/>
        <v>44</v>
      </c>
      <c r="G17" s="461"/>
      <c r="H17" s="15">
        <v>44</v>
      </c>
      <c r="I17" s="15"/>
      <c r="J17" s="15">
        <f t="shared" si="1"/>
        <v>44</v>
      </c>
      <c r="K17" s="9">
        <f t="shared" si="2"/>
        <v>0</v>
      </c>
      <c r="L17" s="8">
        <f t="shared" si="3"/>
        <v>0</v>
      </c>
    </row>
    <row r="18" spans="1:12" x14ac:dyDescent="0.35">
      <c r="A18" s="462">
        <f t="shared" si="4"/>
        <v>7</v>
      </c>
      <c r="B18" s="458" t="s">
        <v>1223</v>
      </c>
      <c r="C18" s="16" t="s">
        <v>19</v>
      </c>
      <c r="D18" s="15">
        <v>83</v>
      </c>
      <c r="E18" s="15"/>
      <c r="F18" s="15">
        <f t="shared" si="0"/>
        <v>83</v>
      </c>
      <c r="G18" s="461"/>
      <c r="H18" s="15">
        <v>83</v>
      </c>
      <c r="I18" s="15"/>
      <c r="J18" s="15">
        <f t="shared" si="1"/>
        <v>83</v>
      </c>
      <c r="K18" s="9">
        <f t="shared" si="2"/>
        <v>0</v>
      </c>
      <c r="L18" s="8">
        <f t="shared" si="3"/>
        <v>0</v>
      </c>
    </row>
    <row r="19" spans="1:12" x14ac:dyDescent="0.35">
      <c r="A19" s="462">
        <f t="shared" si="4"/>
        <v>8</v>
      </c>
      <c r="B19" s="458" t="s">
        <v>1224</v>
      </c>
      <c r="C19" s="16" t="s">
        <v>19</v>
      </c>
      <c r="D19" s="15">
        <v>99</v>
      </c>
      <c r="E19" s="15"/>
      <c r="F19" s="15">
        <f t="shared" si="0"/>
        <v>99</v>
      </c>
      <c r="G19" s="461"/>
      <c r="H19" s="15">
        <v>99</v>
      </c>
      <c r="I19" s="15"/>
      <c r="J19" s="15">
        <f t="shared" si="1"/>
        <v>99</v>
      </c>
      <c r="K19" s="9">
        <f t="shared" si="2"/>
        <v>0</v>
      </c>
      <c r="L19" s="8">
        <f t="shared" si="3"/>
        <v>0</v>
      </c>
    </row>
    <row r="20" spans="1:12" x14ac:dyDescent="0.35">
      <c r="A20" s="462">
        <f t="shared" si="4"/>
        <v>9</v>
      </c>
      <c r="B20" s="458" t="s">
        <v>1225</v>
      </c>
      <c r="C20" s="16" t="s">
        <v>12</v>
      </c>
      <c r="D20" s="15">
        <v>38.5</v>
      </c>
      <c r="E20" s="15"/>
      <c r="F20" s="15">
        <f t="shared" si="0"/>
        <v>38.5</v>
      </c>
      <c r="G20" s="15"/>
      <c r="H20" s="463">
        <f>MROUND((D20*(1+Sheet1!$C$3)),0.1)</f>
        <v>39.6</v>
      </c>
      <c r="I20" s="15"/>
      <c r="J20" s="15">
        <f t="shared" si="1"/>
        <v>39.6</v>
      </c>
      <c r="K20" s="9">
        <f t="shared" si="2"/>
        <v>1.1000000000000014</v>
      </c>
      <c r="L20" s="8">
        <f t="shared" si="3"/>
        <v>2.8571428571428609E-2</v>
      </c>
    </row>
    <row r="21" spans="1:12" x14ac:dyDescent="0.35">
      <c r="A21" s="462">
        <f t="shared" si="4"/>
        <v>10</v>
      </c>
      <c r="B21" s="108" t="s">
        <v>1226</v>
      </c>
      <c r="C21" s="16" t="s">
        <v>12</v>
      </c>
      <c r="D21" s="15">
        <v>3.17</v>
      </c>
      <c r="E21" s="15">
        <f>ROUND(D21*0.2,2)</f>
        <v>0.63</v>
      </c>
      <c r="F21" s="15">
        <f t="shared" si="0"/>
        <v>3.8</v>
      </c>
      <c r="G21" s="15"/>
      <c r="H21" s="463">
        <f>MROUND((D21*(1+Sheet1!$C$3)),0.1)-0.01</f>
        <v>3.2900000000000005</v>
      </c>
      <c r="I21" s="15">
        <f>ROUND(H21*0.2,2)</f>
        <v>0.66</v>
      </c>
      <c r="J21" s="15">
        <f t="shared" si="1"/>
        <v>3.9500000000000006</v>
      </c>
      <c r="K21" s="9">
        <f t="shared" si="2"/>
        <v>0.1500000000000008</v>
      </c>
      <c r="L21" s="8">
        <f t="shared" si="3"/>
        <v>3.9473684210526529E-2</v>
      </c>
    </row>
    <row r="22" spans="1:12" x14ac:dyDescent="0.35">
      <c r="A22" s="462">
        <f t="shared" si="4"/>
        <v>11</v>
      </c>
      <c r="B22" s="108" t="s">
        <v>1227</v>
      </c>
      <c r="C22" s="16" t="s">
        <v>12</v>
      </c>
      <c r="D22" s="15">
        <v>7.29</v>
      </c>
      <c r="E22" s="15">
        <f>ROUND(D22*0.2,2)</f>
        <v>1.46</v>
      </c>
      <c r="F22" s="15">
        <f t="shared" ref="F22" si="5">SUM(D22:E22)</f>
        <v>8.75</v>
      </c>
      <c r="G22" s="15"/>
      <c r="H22" s="463">
        <f>MROUND((D22*(1+Sheet1!$C$3)),0.1)</f>
        <v>7.5</v>
      </c>
      <c r="I22" s="15">
        <f>ROUND(H22*0.2,2)</f>
        <v>1.5</v>
      </c>
      <c r="J22" s="15">
        <f t="shared" si="1"/>
        <v>9</v>
      </c>
      <c r="K22" s="9">
        <f t="shared" si="2"/>
        <v>0.25</v>
      </c>
      <c r="L22" s="8">
        <f t="shared" si="3"/>
        <v>2.8571428571428571E-2</v>
      </c>
    </row>
    <row r="23" spans="1:12" x14ac:dyDescent="0.35">
      <c r="A23" s="460"/>
      <c r="B23" s="108"/>
      <c r="C23" s="16"/>
      <c r="D23" s="15"/>
      <c r="E23" s="15"/>
      <c r="F23" s="15"/>
      <c r="G23" s="15"/>
      <c r="H23" s="15"/>
      <c r="I23" s="15"/>
      <c r="J23" s="15"/>
      <c r="K23" s="9"/>
      <c r="L23" s="8"/>
    </row>
    <row r="24" spans="1:12" ht="18.5" thickBot="1" x14ac:dyDescent="0.45">
      <c r="A24" s="464"/>
      <c r="B24" s="272" t="s">
        <v>1228</v>
      </c>
      <c r="C24" s="16"/>
      <c r="D24" s="15"/>
      <c r="E24" s="15"/>
      <c r="F24" s="15"/>
      <c r="G24" s="15"/>
      <c r="H24" s="15"/>
      <c r="I24" s="15"/>
      <c r="J24" s="15"/>
      <c r="K24" s="9"/>
      <c r="L24" s="8"/>
    </row>
    <row r="25" spans="1:12" ht="18.75" customHeight="1" thickTop="1" thickBot="1" x14ac:dyDescent="0.4">
      <c r="A25" s="464"/>
      <c r="B25" s="276" t="s">
        <v>1229</v>
      </c>
      <c r="C25" s="16"/>
      <c r="D25" s="15"/>
      <c r="E25" s="15"/>
      <c r="F25" s="15"/>
      <c r="G25" s="15"/>
      <c r="H25" s="15"/>
      <c r="I25" s="15"/>
      <c r="J25" s="15"/>
      <c r="K25" s="9"/>
      <c r="L25" s="8"/>
    </row>
    <row r="26" spans="1:12" x14ac:dyDescent="0.35">
      <c r="A26" s="464">
        <f>A22+1</f>
        <v>12</v>
      </c>
      <c r="B26" s="465" t="s">
        <v>1230</v>
      </c>
      <c r="C26" s="16" t="s">
        <v>19</v>
      </c>
      <c r="D26" s="15">
        <v>42</v>
      </c>
      <c r="E26" s="15"/>
      <c r="F26" s="15">
        <f t="shared" ref="F26:F41" si="6">SUM(D26:E26)</f>
        <v>42</v>
      </c>
      <c r="G26" s="15"/>
      <c r="H26" s="15">
        <v>42</v>
      </c>
      <c r="I26" s="15"/>
      <c r="J26" s="15">
        <f t="shared" ref="J26:J41" si="7">SUM(H26:I26)</f>
        <v>42</v>
      </c>
      <c r="K26" s="9">
        <f t="shared" ref="K26:K41" si="8">J26-F26</f>
        <v>0</v>
      </c>
      <c r="L26" s="8">
        <f t="shared" ref="L26:L41" si="9">IF(F26="","NEW",K26/F26)</f>
        <v>0</v>
      </c>
    </row>
    <row r="27" spans="1:12" ht="31" x14ac:dyDescent="0.35">
      <c r="A27" s="464">
        <f t="shared" ref="A27:A41" si="10">A26+1</f>
        <v>13</v>
      </c>
      <c r="B27" s="465" t="s">
        <v>1231</v>
      </c>
      <c r="C27" s="16" t="s">
        <v>19</v>
      </c>
      <c r="D27" s="15">
        <v>42</v>
      </c>
      <c r="E27" s="15"/>
      <c r="F27" s="15">
        <f t="shared" si="6"/>
        <v>42</v>
      </c>
      <c r="G27" s="15"/>
      <c r="H27" s="15">
        <v>42</v>
      </c>
      <c r="I27" s="15"/>
      <c r="J27" s="15">
        <f t="shared" si="7"/>
        <v>42</v>
      </c>
      <c r="K27" s="9">
        <f t="shared" si="8"/>
        <v>0</v>
      </c>
      <c r="L27" s="8">
        <f t="shared" si="9"/>
        <v>0</v>
      </c>
    </row>
    <row r="28" spans="1:12" x14ac:dyDescent="0.35">
      <c r="A28" s="464">
        <f t="shared" si="10"/>
        <v>14</v>
      </c>
      <c r="B28" s="465" t="s">
        <v>1232</v>
      </c>
      <c r="C28" s="16" t="s">
        <v>19</v>
      </c>
      <c r="D28" s="15">
        <v>57</v>
      </c>
      <c r="E28" s="15"/>
      <c r="F28" s="15">
        <f t="shared" si="6"/>
        <v>57</v>
      </c>
      <c r="G28" s="15"/>
      <c r="H28" s="15">
        <v>57</v>
      </c>
      <c r="I28" s="15"/>
      <c r="J28" s="15">
        <f t="shared" si="7"/>
        <v>57</v>
      </c>
      <c r="K28" s="9">
        <f t="shared" si="8"/>
        <v>0</v>
      </c>
      <c r="L28" s="8">
        <f t="shared" si="9"/>
        <v>0</v>
      </c>
    </row>
    <row r="29" spans="1:12" x14ac:dyDescent="0.35">
      <c r="A29" s="464">
        <f t="shared" si="10"/>
        <v>15</v>
      </c>
      <c r="B29" s="465" t="s">
        <v>1233</v>
      </c>
      <c r="C29" s="16" t="s">
        <v>19</v>
      </c>
      <c r="D29" s="15">
        <v>101</v>
      </c>
      <c r="E29" s="15"/>
      <c r="F29" s="15">
        <f t="shared" si="6"/>
        <v>101</v>
      </c>
      <c r="G29" s="15"/>
      <c r="H29" s="15">
        <v>101</v>
      </c>
      <c r="I29" s="15"/>
      <c r="J29" s="15">
        <f t="shared" si="7"/>
        <v>101</v>
      </c>
      <c r="K29" s="9">
        <f t="shared" si="8"/>
        <v>0</v>
      </c>
      <c r="L29" s="8">
        <f t="shared" si="9"/>
        <v>0</v>
      </c>
    </row>
    <row r="30" spans="1:12" ht="31" x14ac:dyDescent="0.35">
      <c r="A30" s="464">
        <f t="shared" si="10"/>
        <v>16</v>
      </c>
      <c r="B30" s="465" t="s">
        <v>1234</v>
      </c>
      <c r="C30" s="16" t="s">
        <v>19</v>
      </c>
      <c r="D30" s="15">
        <v>4</v>
      </c>
      <c r="E30" s="15"/>
      <c r="F30" s="15">
        <f t="shared" si="6"/>
        <v>4</v>
      </c>
      <c r="G30" s="15"/>
      <c r="H30" s="15">
        <v>4</v>
      </c>
      <c r="I30" s="15"/>
      <c r="J30" s="15">
        <f t="shared" si="7"/>
        <v>4</v>
      </c>
      <c r="K30" s="9">
        <f t="shared" si="8"/>
        <v>0</v>
      </c>
      <c r="L30" s="8">
        <f t="shared" si="9"/>
        <v>0</v>
      </c>
    </row>
    <row r="31" spans="1:12" x14ac:dyDescent="0.35">
      <c r="A31" s="464">
        <f t="shared" si="10"/>
        <v>17</v>
      </c>
      <c r="B31" s="465" t="s">
        <v>1235</v>
      </c>
      <c r="C31" s="16" t="s">
        <v>19</v>
      </c>
      <c r="D31" s="15">
        <v>2.5</v>
      </c>
      <c r="E31" s="15"/>
      <c r="F31" s="15">
        <f t="shared" si="6"/>
        <v>2.5</v>
      </c>
      <c r="G31" s="15"/>
      <c r="H31" s="15">
        <v>2.5</v>
      </c>
      <c r="I31" s="15"/>
      <c r="J31" s="15">
        <f t="shared" si="7"/>
        <v>2.5</v>
      </c>
      <c r="K31" s="9">
        <f t="shared" si="8"/>
        <v>0</v>
      </c>
      <c r="L31" s="8">
        <f t="shared" si="9"/>
        <v>0</v>
      </c>
    </row>
    <row r="32" spans="1:12" x14ac:dyDescent="0.35">
      <c r="A32" s="464">
        <f t="shared" si="10"/>
        <v>18</v>
      </c>
      <c r="B32" s="465" t="s">
        <v>1236</v>
      </c>
      <c r="C32" s="16" t="s">
        <v>19</v>
      </c>
      <c r="D32" s="15">
        <v>18</v>
      </c>
      <c r="E32" s="15"/>
      <c r="F32" s="15">
        <f t="shared" si="6"/>
        <v>18</v>
      </c>
      <c r="G32" s="15"/>
      <c r="H32" s="15">
        <v>18</v>
      </c>
      <c r="I32" s="15"/>
      <c r="J32" s="15">
        <f t="shared" si="7"/>
        <v>18</v>
      </c>
      <c r="K32" s="9">
        <f t="shared" si="8"/>
        <v>0</v>
      </c>
      <c r="L32" s="8">
        <f t="shared" si="9"/>
        <v>0</v>
      </c>
    </row>
    <row r="33" spans="1:12" x14ac:dyDescent="0.35">
      <c r="A33" s="464">
        <f t="shared" si="10"/>
        <v>19</v>
      </c>
      <c r="B33" s="465" t="s">
        <v>1237</v>
      </c>
      <c r="C33" s="16" t="s">
        <v>19</v>
      </c>
      <c r="D33" s="15">
        <v>104</v>
      </c>
      <c r="E33" s="15"/>
      <c r="F33" s="15">
        <f t="shared" si="6"/>
        <v>104</v>
      </c>
      <c r="G33" s="15"/>
      <c r="H33" s="15">
        <v>104</v>
      </c>
      <c r="I33" s="15"/>
      <c r="J33" s="15">
        <f t="shared" si="7"/>
        <v>104</v>
      </c>
      <c r="K33" s="9">
        <f t="shared" si="8"/>
        <v>0</v>
      </c>
      <c r="L33" s="8">
        <f t="shared" si="9"/>
        <v>0</v>
      </c>
    </row>
    <row r="34" spans="1:12" x14ac:dyDescent="0.35">
      <c r="A34" s="464">
        <f t="shared" si="10"/>
        <v>20</v>
      </c>
      <c r="B34" s="465" t="s">
        <v>1238</v>
      </c>
      <c r="C34" s="16" t="s">
        <v>19</v>
      </c>
      <c r="D34" s="15">
        <v>98</v>
      </c>
      <c r="E34" s="15"/>
      <c r="F34" s="15">
        <f t="shared" si="6"/>
        <v>98</v>
      </c>
      <c r="G34" s="15"/>
      <c r="H34" s="15">
        <v>98</v>
      </c>
      <c r="I34" s="15"/>
      <c r="J34" s="15">
        <f t="shared" si="7"/>
        <v>98</v>
      </c>
      <c r="K34" s="9">
        <f t="shared" si="8"/>
        <v>0</v>
      </c>
      <c r="L34" s="8">
        <f t="shared" si="9"/>
        <v>0</v>
      </c>
    </row>
    <row r="35" spans="1:12" ht="31" x14ac:dyDescent="0.35">
      <c r="A35" s="464">
        <f t="shared" si="10"/>
        <v>21</v>
      </c>
      <c r="B35" s="465" t="s">
        <v>1239</v>
      </c>
      <c r="C35" s="16" t="s">
        <v>19</v>
      </c>
      <c r="D35" s="15">
        <v>55</v>
      </c>
      <c r="E35" s="15"/>
      <c r="F35" s="15">
        <f t="shared" si="6"/>
        <v>55</v>
      </c>
      <c r="G35" s="15"/>
      <c r="H35" s="15">
        <v>55</v>
      </c>
      <c r="I35" s="15"/>
      <c r="J35" s="15">
        <f t="shared" si="7"/>
        <v>55</v>
      </c>
      <c r="K35" s="9">
        <f t="shared" si="8"/>
        <v>0</v>
      </c>
      <c r="L35" s="8">
        <f t="shared" si="9"/>
        <v>0</v>
      </c>
    </row>
    <row r="36" spans="1:12" ht="31" x14ac:dyDescent="0.35">
      <c r="A36" s="464">
        <f t="shared" si="10"/>
        <v>22</v>
      </c>
      <c r="B36" s="465" t="s">
        <v>1240</v>
      </c>
      <c r="C36" s="16" t="s">
        <v>19</v>
      </c>
      <c r="D36" s="15">
        <v>83</v>
      </c>
      <c r="E36" s="15"/>
      <c r="F36" s="15">
        <f t="shared" si="6"/>
        <v>83</v>
      </c>
      <c r="G36" s="15"/>
      <c r="H36" s="15">
        <v>83</v>
      </c>
      <c r="I36" s="15"/>
      <c r="J36" s="15">
        <f t="shared" si="7"/>
        <v>83</v>
      </c>
      <c r="K36" s="9">
        <f t="shared" si="8"/>
        <v>0</v>
      </c>
      <c r="L36" s="8">
        <f t="shared" si="9"/>
        <v>0</v>
      </c>
    </row>
    <row r="37" spans="1:12" x14ac:dyDescent="0.35">
      <c r="A37" s="464">
        <f t="shared" si="10"/>
        <v>23</v>
      </c>
      <c r="B37" s="465" t="s">
        <v>1241</v>
      </c>
      <c r="C37" s="16" t="s">
        <v>19</v>
      </c>
      <c r="D37" s="15">
        <v>66</v>
      </c>
      <c r="E37" s="15"/>
      <c r="F37" s="15">
        <f t="shared" si="6"/>
        <v>66</v>
      </c>
      <c r="G37" s="15"/>
      <c r="H37" s="15">
        <v>66</v>
      </c>
      <c r="I37" s="15"/>
      <c r="J37" s="15">
        <f t="shared" si="7"/>
        <v>66</v>
      </c>
      <c r="K37" s="9">
        <f t="shared" si="8"/>
        <v>0</v>
      </c>
      <c r="L37" s="8">
        <f t="shared" si="9"/>
        <v>0</v>
      </c>
    </row>
    <row r="38" spans="1:12" x14ac:dyDescent="0.35">
      <c r="A38" s="464">
        <f t="shared" si="10"/>
        <v>24</v>
      </c>
      <c r="B38" s="108" t="s">
        <v>1242</v>
      </c>
      <c r="C38" s="16" t="s">
        <v>19</v>
      </c>
      <c r="D38" s="15">
        <v>32</v>
      </c>
      <c r="E38" s="15"/>
      <c r="F38" s="15">
        <f t="shared" si="6"/>
        <v>32</v>
      </c>
      <c r="G38" s="15"/>
      <c r="H38" s="15">
        <v>32</v>
      </c>
      <c r="I38" s="15"/>
      <c r="J38" s="15">
        <f t="shared" si="7"/>
        <v>32</v>
      </c>
      <c r="K38" s="9">
        <f t="shared" si="8"/>
        <v>0</v>
      </c>
      <c r="L38" s="8">
        <f t="shared" si="9"/>
        <v>0</v>
      </c>
    </row>
    <row r="39" spans="1:12" x14ac:dyDescent="0.35">
      <c r="A39" s="464">
        <f t="shared" si="10"/>
        <v>25</v>
      </c>
      <c r="B39" s="108" t="s">
        <v>1243</v>
      </c>
      <c r="C39" s="16" t="s">
        <v>19</v>
      </c>
      <c r="D39" s="15">
        <v>136</v>
      </c>
      <c r="E39" s="15"/>
      <c r="F39" s="15">
        <f t="shared" si="6"/>
        <v>136</v>
      </c>
      <c r="G39" s="15"/>
      <c r="H39" s="15">
        <v>136</v>
      </c>
      <c r="I39" s="15"/>
      <c r="J39" s="15">
        <f t="shared" si="7"/>
        <v>136</v>
      </c>
      <c r="K39" s="9">
        <f t="shared" si="8"/>
        <v>0</v>
      </c>
      <c r="L39" s="8">
        <f t="shared" si="9"/>
        <v>0</v>
      </c>
    </row>
    <row r="40" spans="1:12" x14ac:dyDescent="0.35">
      <c r="A40" s="464">
        <f t="shared" si="10"/>
        <v>26</v>
      </c>
      <c r="B40" s="108" t="s">
        <v>1244</v>
      </c>
      <c r="C40" s="16" t="s">
        <v>19</v>
      </c>
      <c r="D40" s="15">
        <v>71</v>
      </c>
      <c r="E40" s="15"/>
      <c r="F40" s="15">
        <f t="shared" si="6"/>
        <v>71</v>
      </c>
      <c r="G40" s="15"/>
      <c r="H40" s="15">
        <v>71</v>
      </c>
      <c r="I40" s="15"/>
      <c r="J40" s="15">
        <f t="shared" si="7"/>
        <v>71</v>
      </c>
      <c r="K40" s="9">
        <f t="shared" si="8"/>
        <v>0</v>
      </c>
      <c r="L40" s="8">
        <f t="shared" si="9"/>
        <v>0</v>
      </c>
    </row>
    <row r="41" spans="1:12" ht="46.5" x14ac:dyDescent="0.35">
      <c r="A41" s="464">
        <f t="shared" si="10"/>
        <v>27</v>
      </c>
      <c r="B41" s="108" t="s">
        <v>1245</v>
      </c>
      <c r="C41" s="16" t="s">
        <v>19</v>
      </c>
      <c r="D41" s="15">
        <v>56</v>
      </c>
      <c r="E41" s="15"/>
      <c r="F41" s="15">
        <f t="shared" si="6"/>
        <v>56</v>
      </c>
      <c r="G41" s="15"/>
      <c r="H41" s="15">
        <v>56</v>
      </c>
      <c r="I41" s="15"/>
      <c r="J41" s="15">
        <f t="shared" si="7"/>
        <v>56</v>
      </c>
      <c r="K41" s="9">
        <f t="shared" si="8"/>
        <v>0</v>
      </c>
      <c r="L41" s="8">
        <f t="shared" si="9"/>
        <v>0</v>
      </c>
    </row>
    <row r="42" spans="1:12" x14ac:dyDescent="0.35">
      <c r="A42" s="460"/>
      <c r="B42" s="108"/>
      <c r="C42" s="16"/>
      <c r="D42" s="15"/>
      <c r="E42" s="15"/>
      <c r="F42" s="15"/>
      <c r="G42" s="15"/>
      <c r="H42" s="15"/>
      <c r="I42" s="15"/>
      <c r="J42" s="15"/>
      <c r="K42" s="9"/>
      <c r="L42" s="8"/>
    </row>
    <row r="43" spans="1:12" ht="18.5" thickBot="1" x14ac:dyDescent="0.4">
      <c r="A43" s="462"/>
      <c r="B43" s="259" t="s">
        <v>1246</v>
      </c>
      <c r="C43" s="16"/>
      <c r="D43" s="15"/>
      <c r="E43" s="15"/>
      <c r="F43" s="15"/>
      <c r="G43" s="15"/>
      <c r="H43" s="15"/>
      <c r="I43" s="15"/>
      <c r="J43" s="15"/>
      <c r="K43" s="9"/>
      <c r="L43" s="8"/>
    </row>
    <row r="44" spans="1:12" ht="16" thickTop="1" x14ac:dyDescent="0.35">
      <c r="A44" s="462"/>
      <c r="B44" s="466" t="s">
        <v>1247</v>
      </c>
      <c r="C44" s="16"/>
      <c r="D44" s="15"/>
      <c r="E44" s="15"/>
      <c r="F44" s="15"/>
      <c r="G44" s="15"/>
      <c r="H44" s="15"/>
      <c r="I44" s="15"/>
      <c r="J44" s="15"/>
      <c r="K44" s="9"/>
      <c r="L44" s="8"/>
    </row>
    <row r="45" spans="1:12" x14ac:dyDescent="0.35">
      <c r="A45" s="462">
        <f>A41+1</f>
        <v>28</v>
      </c>
      <c r="B45" s="466" t="s">
        <v>1248</v>
      </c>
      <c r="C45" s="16" t="s">
        <v>19</v>
      </c>
      <c r="D45" s="15">
        <v>130</v>
      </c>
      <c r="E45" s="15"/>
      <c r="F45" s="15">
        <f>SUM(D45:E45)</f>
        <v>130</v>
      </c>
      <c r="G45" s="15"/>
      <c r="H45" s="15">
        <v>130</v>
      </c>
      <c r="I45" s="15"/>
      <c r="J45" s="15">
        <f>SUM(H45:I45)</f>
        <v>130</v>
      </c>
      <c r="K45" s="9">
        <f>J45-F45</f>
        <v>0</v>
      </c>
      <c r="L45" s="8">
        <f>IF(F45="","NEW",K45/F45)</f>
        <v>0</v>
      </c>
    </row>
    <row r="46" spans="1:12" x14ac:dyDescent="0.35">
      <c r="A46" s="460"/>
      <c r="B46" s="108"/>
      <c r="C46" s="16"/>
      <c r="D46" s="10"/>
      <c r="E46" s="10"/>
      <c r="F46" s="15"/>
      <c r="G46" s="15"/>
      <c r="H46" s="10"/>
      <c r="I46" s="10"/>
      <c r="J46" s="15"/>
      <c r="K46" s="9"/>
      <c r="L46" s="8"/>
    </row>
    <row r="47" spans="1:12" ht="18.5" thickBot="1" x14ac:dyDescent="0.45">
      <c r="A47" s="67"/>
      <c r="B47" s="272" t="s">
        <v>1249</v>
      </c>
      <c r="C47" s="16"/>
      <c r="D47" s="10"/>
      <c r="E47" s="10"/>
      <c r="F47" s="15"/>
      <c r="G47" s="15"/>
      <c r="H47" s="10"/>
      <c r="I47" s="10"/>
      <c r="J47" s="15"/>
      <c r="K47" s="9"/>
      <c r="L47" s="8"/>
    </row>
    <row r="48" spans="1:12" ht="56.25" customHeight="1" thickTop="1" thickBot="1" x14ac:dyDescent="0.4">
      <c r="A48" s="67"/>
      <c r="B48" s="271" t="s">
        <v>1250</v>
      </c>
      <c r="C48" s="16"/>
      <c r="D48" s="10"/>
      <c r="E48" s="10"/>
      <c r="F48" s="15"/>
      <c r="G48" s="15"/>
      <c r="H48" s="10"/>
      <c r="I48" s="10"/>
      <c r="J48" s="15"/>
      <c r="K48" s="9"/>
      <c r="L48" s="8"/>
    </row>
    <row r="49" spans="1:12" x14ac:dyDescent="0.35">
      <c r="A49" s="467"/>
      <c r="B49" s="468"/>
      <c r="C49" s="16"/>
      <c r="D49" s="10"/>
      <c r="E49" s="10"/>
      <c r="F49" s="15"/>
      <c r="G49" s="15"/>
      <c r="H49" s="10"/>
      <c r="I49" s="10"/>
      <c r="J49" s="15"/>
      <c r="K49" s="9"/>
      <c r="L49" s="8"/>
    </row>
    <row r="50" spans="1:12" ht="17" thickBot="1" x14ac:dyDescent="0.4">
      <c r="A50" s="67"/>
      <c r="B50" s="285" t="s">
        <v>1251</v>
      </c>
      <c r="C50" s="16"/>
      <c r="D50" s="10"/>
      <c r="E50" s="10"/>
      <c r="F50" s="15"/>
      <c r="G50" s="15"/>
      <c r="H50" s="10"/>
      <c r="I50" s="10"/>
      <c r="J50" s="15"/>
      <c r="K50" s="9"/>
      <c r="L50" s="8"/>
    </row>
    <row r="51" spans="1:12" x14ac:dyDescent="0.35">
      <c r="A51" s="467">
        <f>1+A45</f>
        <v>29</v>
      </c>
      <c r="B51" s="469" t="s">
        <v>1252</v>
      </c>
      <c r="C51" s="16" t="s">
        <v>12</v>
      </c>
      <c r="D51" s="15">
        <v>575</v>
      </c>
      <c r="E51" s="15"/>
      <c r="F51" s="15">
        <f>SUM(D51:E51)</f>
        <v>575</v>
      </c>
      <c r="G51" s="15"/>
      <c r="H51" s="15">
        <v>635</v>
      </c>
      <c r="I51" s="15"/>
      <c r="J51" s="15">
        <f>SUM(H51:I51)</f>
        <v>635</v>
      </c>
      <c r="K51" s="9">
        <f>J51-F51</f>
        <v>60</v>
      </c>
      <c r="L51" s="8">
        <f>IF(F51="","NEW",K51/F51)</f>
        <v>0.10434782608695652</v>
      </c>
    </row>
    <row r="52" spans="1:12" x14ac:dyDescent="0.35">
      <c r="A52" s="467">
        <f>A51+1</f>
        <v>30</v>
      </c>
      <c r="B52" s="469" t="s">
        <v>1253</v>
      </c>
      <c r="C52" s="16" t="s">
        <v>12</v>
      </c>
      <c r="D52" s="15">
        <v>750</v>
      </c>
      <c r="E52" s="15"/>
      <c r="F52" s="15">
        <f>SUM(D52:E52)</f>
        <v>750</v>
      </c>
      <c r="G52" s="15"/>
      <c r="H52" s="15">
        <v>825</v>
      </c>
      <c r="I52" s="15"/>
      <c r="J52" s="15">
        <f>SUM(H52:I52)</f>
        <v>825</v>
      </c>
      <c r="K52" s="9">
        <f>J52-F52</f>
        <v>75</v>
      </c>
      <c r="L52" s="8">
        <f>IF(F52="","NEW",K52/F52)</f>
        <v>0.1</v>
      </c>
    </row>
    <row r="53" spans="1:12" x14ac:dyDescent="0.35">
      <c r="A53" s="467"/>
      <c r="B53" s="469"/>
      <c r="C53" s="16"/>
      <c r="D53" s="15"/>
      <c r="E53" s="15"/>
      <c r="F53" s="15"/>
      <c r="G53" s="15"/>
      <c r="H53" s="15"/>
      <c r="I53" s="15"/>
      <c r="J53" s="15"/>
      <c r="K53" s="9"/>
      <c r="L53" s="8"/>
    </row>
    <row r="54" spans="1:12" ht="17" thickBot="1" x14ac:dyDescent="0.4">
      <c r="A54" s="67"/>
      <c r="B54" s="271" t="s">
        <v>1254</v>
      </c>
      <c r="C54" s="16"/>
      <c r="D54" s="15"/>
      <c r="E54" s="15"/>
      <c r="F54" s="18"/>
      <c r="G54" s="15"/>
      <c r="H54" s="15"/>
      <c r="I54" s="15"/>
      <c r="J54" s="18"/>
      <c r="K54" s="9"/>
      <c r="L54" s="8"/>
    </row>
    <row r="55" spans="1:12" x14ac:dyDescent="0.35">
      <c r="A55" s="67">
        <f>A52+1</f>
        <v>31</v>
      </c>
      <c r="B55" s="469" t="s">
        <v>1252</v>
      </c>
      <c r="C55" s="16" t="s">
        <v>12</v>
      </c>
      <c r="D55" s="15">
        <v>280</v>
      </c>
      <c r="E55" s="15"/>
      <c r="F55" s="15">
        <f>SUM(D55:E55)</f>
        <v>280</v>
      </c>
      <c r="G55" s="15"/>
      <c r="H55" s="15">
        <v>310</v>
      </c>
      <c r="I55" s="15"/>
      <c r="J55" s="15">
        <f>SUM(H55:I55)</f>
        <v>310</v>
      </c>
      <c r="K55" s="9">
        <f>J55-F55</f>
        <v>30</v>
      </c>
      <c r="L55" s="8">
        <f>IF(F55="","NEW",K55/F55)</f>
        <v>0.10714285714285714</v>
      </c>
    </row>
    <row r="56" spans="1:12" x14ac:dyDescent="0.35">
      <c r="A56" s="67">
        <f>A55+1</f>
        <v>32</v>
      </c>
      <c r="B56" s="469" t="s">
        <v>1253</v>
      </c>
      <c r="C56" s="16" t="s">
        <v>12</v>
      </c>
      <c r="D56" s="15">
        <v>395</v>
      </c>
      <c r="E56" s="15"/>
      <c r="F56" s="15">
        <f>SUM(D56:E56)</f>
        <v>395</v>
      </c>
      <c r="G56" s="15"/>
      <c r="H56" s="15">
        <v>435</v>
      </c>
      <c r="I56" s="15"/>
      <c r="J56" s="15">
        <f>SUM(H56:I56)</f>
        <v>435</v>
      </c>
      <c r="K56" s="9">
        <f>J56-F56</f>
        <v>40</v>
      </c>
      <c r="L56" s="8">
        <f>IF(F56="","NEW",K56/F56)</f>
        <v>0.10126582278481013</v>
      </c>
    </row>
    <row r="57" spans="1:12" x14ac:dyDescent="0.35">
      <c r="A57" s="67"/>
      <c r="B57" s="469"/>
      <c r="C57" s="16"/>
      <c r="D57" s="15"/>
      <c r="E57" s="15"/>
      <c r="F57" s="15"/>
      <c r="G57" s="15"/>
      <c r="H57" s="15"/>
      <c r="I57" s="15"/>
      <c r="J57" s="15"/>
      <c r="K57" s="9"/>
      <c r="L57" s="8"/>
    </row>
    <row r="58" spans="1:12" ht="17" thickBot="1" x14ac:dyDescent="0.4">
      <c r="A58" s="67"/>
      <c r="B58" s="271" t="s">
        <v>666</v>
      </c>
      <c r="C58" s="16"/>
      <c r="D58" s="15"/>
      <c r="E58" s="15"/>
      <c r="F58" s="18"/>
      <c r="G58" s="15"/>
      <c r="H58" s="15"/>
      <c r="I58" s="15"/>
      <c r="J58" s="18"/>
      <c r="K58" s="9"/>
      <c r="L58" s="8"/>
    </row>
    <row r="59" spans="1:12" x14ac:dyDescent="0.35">
      <c r="A59" s="67">
        <f>A56+1</f>
        <v>33</v>
      </c>
      <c r="B59" s="469" t="s">
        <v>667</v>
      </c>
      <c r="C59" s="16" t="s">
        <v>12</v>
      </c>
      <c r="D59" s="15">
        <v>845</v>
      </c>
      <c r="E59" s="15"/>
      <c r="F59" s="15">
        <f>SUM(D59:E59)</f>
        <v>845</v>
      </c>
      <c r="G59" s="15"/>
      <c r="H59" s="15">
        <v>930</v>
      </c>
      <c r="I59" s="15"/>
      <c r="J59" s="15">
        <f>SUM(H59:I59)</f>
        <v>930</v>
      </c>
      <c r="K59" s="9">
        <f>J59-F59</f>
        <v>85</v>
      </c>
      <c r="L59" s="8">
        <f>IF(F59="","NEW",K59/F59)</f>
        <v>0.10059171597633136</v>
      </c>
    </row>
    <row r="60" spans="1:12" x14ac:dyDescent="0.35">
      <c r="A60" s="470">
        <f>1+A59</f>
        <v>34</v>
      </c>
      <c r="B60" s="469" t="s">
        <v>668</v>
      </c>
      <c r="C60" s="16" t="s">
        <v>12</v>
      </c>
      <c r="D60" s="15">
        <v>970</v>
      </c>
      <c r="E60" s="15"/>
      <c r="F60" s="15">
        <f>SUM(D60:E60)</f>
        <v>970</v>
      </c>
      <c r="G60" s="15"/>
      <c r="H60" s="15">
        <v>1065</v>
      </c>
      <c r="I60" s="15"/>
      <c r="J60" s="15">
        <f>SUM(H60:I60)</f>
        <v>1065</v>
      </c>
      <c r="K60" s="9">
        <f>J60-F60</f>
        <v>95</v>
      </c>
      <c r="L60" s="8">
        <f>IF(F60="","NEW",K60/F60)</f>
        <v>9.7938144329896906E-2</v>
      </c>
    </row>
    <row r="61" spans="1:12" x14ac:dyDescent="0.35">
      <c r="A61" s="67">
        <f>A60+1</f>
        <v>35</v>
      </c>
      <c r="B61" s="469" t="s">
        <v>669</v>
      </c>
      <c r="C61" s="16" t="s">
        <v>12</v>
      </c>
      <c r="D61" s="15">
        <v>60</v>
      </c>
      <c r="E61" s="15"/>
      <c r="F61" s="15">
        <f>SUM(D61:E61)</f>
        <v>60</v>
      </c>
      <c r="G61" s="15"/>
      <c r="H61" s="15">
        <v>65</v>
      </c>
      <c r="I61" s="15"/>
      <c r="J61" s="15">
        <f>SUM(H61:I61)</f>
        <v>65</v>
      </c>
      <c r="K61" s="9">
        <f>J61-F61</f>
        <v>5</v>
      </c>
      <c r="L61" s="8">
        <f>IF(F61="","NEW",K61/F61)</f>
        <v>8.3333333333333329E-2</v>
      </c>
    </row>
    <row r="62" spans="1:12" x14ac:dyDescent="0.35">
      <c r="A62" s="67"/>
      <c r="B62" s="469"/>
      <c r="C62" s="16"/>
      <c r="D62" s="15"/>
      <c r="E62" s="15"/>
      <c r="F62" s="15"/>
      <c r="G62" s="15"/>
      <c r="H62" s="15"/>
      <c r="I62" s="15"/>
      <c r="J62" s="15"/>
      <c r="K62" s="9"/>
      <c r="L62" s="8"/>
    </row>
    <row r="63" spans="1:12" ht="18.5" thickBot="1" x14ac:dyDescent="0.45">
      <c r="A63" s="470"/>
      <c r="B63" s="284" t="s">
        <v>1255</v>
      </c>
      <c r="C63" s="16"/>
      <c r="D63" s="15"/>
      <c r="E63" s="15"/>
      <c r="F63" s="15"/>
      <c r="G63" s="15"/>
      <c r="H63" s="15"/>
      <c r="I63" s="15"/>
      <c r="J63" s="15"/>
      <c r="K63" s="9"/>
      <c r="L63" s="8"/>
    </row>
    <row r="64" spans="1:12" ht="56.25" customHeight="1" thickTop="1" thickBot="1" x14ac:dyDescent="0.4">
      <c r="A64" s="67"/>
      <c r="B64" s="271" t="s">
        <v>1256</v>
      </c>
      <c r="C64" s="16"/>
      <c r="D64" s="10"/>
      <c r="E64" s="10"/>
      <c r="F64" s="15"/>
      <c r="G64" s="15"/>
      <c r="H64" s="10"/>
      <c r="I64" s="10"/>
      <c r="J64" s="15"/>
      <c r="K64" s="9"/>
      <c r="L64" s="8"/>
    </row>
    <row r="65" spans="1:12" x14ac:dyDescent="0.35">
      <c r="A65" s="470"/>
      <c r="B65" s="471"/>
      <c r="C65" s="16"/>
      <c r="D65" s="15"/>
      <c r="E65" s="15"/>
      <c r="F65" s="15"/>
      <c r="G65" s="15"/>
      <c r="H65" s="15"/>
      <c r="I65" s="15"/>
      <c r="J65" s="15"/>
      <c r="K65" s="9"/>
      <c r="L65" s="8"/>
    </row>
    <row r="66" spans="1:12" ht="17" thickBot="1" x14ac:dyDescent="0.4">
      <c r="A66" s="470"/>
      <c r="B66" s="271" t="s">
        <v>1251</v>
      </c>
      <c r="C66" s="16"/>
      <c r="D66" s="15"/>
      <c r="E66" s="15"/>
      <c r="F66" s="15"/>
      <c r="G66" s="15"/>
      <c r="H66" s="15"/>
      <c r="I66" s="15"/>
      <c r="J66" s="15"/>
      <c r="K66" s="9"/>
      <c r="L66" s="8"/>
    </row>
    <row r="67" spans="1:12" x14ac:dyDescent="0.35">
      <c r="A67" s="470">
        <f>A61+1</f>
        <v>36</v>
      </c>
      <c r="B67" s="469" t="s">
        <v>1252</v>
      </c>
      <c r="C67" s="16" t="s">
        <v>12</v>
      </c>
      <c r="D67" s="15">
        <v>479.17</v>
      </c>
      <c r="E67" s="15">
        <f>ROUND(D67*0.2,2)</f>
        <v>95.83</v>
      </c>
      <c r="F67" s="15">
        <f>SUM(D67:E67)</f>
        <v>575</v>
      </c>
      <c r="G67" s="15"/>
      <c r="H67" s="15">
        <v>529.16999999999996</v>
      </c>
      <c r="I67" s="15">
        <f>ROUND(H67*0.2,2)</f>
        <v>105.83</v>
      </c>
      <c r="J67" s="15">
        <f>SUM(H67:I67)</f>
        <v>635</v>
      </c>
      <c r="K67" s="9">
        <f>J67-F67</f>
        <v>60</v>
      </c>
      <c r="L67" s="8">
        <f>IF(F67="","NEW",K67/F67)</f>
        <v>0.10434782608695652</v>
      </c>
    </row>
    <row r="68" spans="1:12" x14ac:dyDescent="0.35">
      <c r="A68" s="470">
        <f>1+A67</f>
        <v>37</v>
      </c>
      <c r="B68" s="469" t="s">
        <v>1253</v>
      </c>
      <c r="C68" s="16" t="s">
        <v>12</v>
      </c>
      <c r="D68" s="15">
        <v>625</v>
      </c>
      <c r="E68" s="15">
        <f>ROUND(D68*0.2,2)</f>
        <v>125</v>
      </c>
      <c r="F68" s="15">
        <f>SUM(D68:E68)</f>
        <v>750</v>
      </c>
      <c r="G68" s="15"/>
      <c r="H68" s="15">
        <v>687.5</v>
      </c>
      <c r="I68" s="15">
        <f>ROUND(H68*0.2,2)</f>
        <v>137.5</v>
      </c>
      <c r="J68" s="15">
        <f>SUM(H68:I68)</f>
        <v>825</v>
      </c>
      <c r="K68" s="9">
        <f>J68-F68</f>
        <v>75</v>
      </c>
      <c r="L68" s="8">
        <f>IF(F68="","NEW",K68/F68)</f>
        <v>0.1</v>
      </c>
    </row>
    <row r="69" spans="1:12" x14ac:dyDescent="0.35">
      <c r="A69" s="470"/>
      <c r="B69" s="472"/>
      <c r="C69" s="16"/>
      <c r="D69" s="15"/>
      <c r="E69" s="15"/>
      <c r="F69" s="15"/>
      <c r="G69" s="15"/>
      <c r="H69" s="15"/>
      <c r="I69" s="15"/>
      <c r="J69" s="15"/>
      <c r="K69" s="9"/>
      <c r="L69" s="8"/>
    </row>
    <row r="70" spans="1:12" ht="17" thickBot="1" x14ac:dyDescent="0.4">
      <c r="A70" s="470"/>
      <c r="B70" s="271" t="s">
        <v>1254</v>
      </c>
      <c r="C70" s="16"/>
      <c r="D70" s="15"/>
      <c r="E70" s="15"/>
      <c r="F70" s="15"/>
      <c r="G70" s="15"/>
      <c r="H70" s="15"/>
      <c r="I70" s="15"/>
      <c r="J70" s="15"/>
      <c r="K70" s="9"/>
      <c r="L70" s="8"/>
    </row>
    <row r="71" spans="1:12" x14ac:dyDescent="0.35">
      <c r="A71" s="470">
        <f>A68+1</f>
        <v>38</v>
      </c>
      <c r="B71" s="469" t="s">
        <v>1252</v>
      </c>
      <c r="C71" s="16" t="s">
        <v>12</v>
      </c>
      <c r="D71" s="15">
        <v>233.33</v>
      </c>
      <c r="E71" s="15">
        <f>ROUND(D71*0.2,2)</f>
        <v>46.67</v>
      </c>
      <c r="F71" s="15">
        <f>SUM(D71:E71)</f>
        <v>280</v>
      </c>
      <c r="G71" s="15"/>
      <c r="H71" s="15">
        <v>258.33</v>
      </c>
      <c r="I71" s="15">
        <f>ROUND(H71*0.2,2)</f>
        <v>51.67</v>
      </c>
      <c r="J71" s="15">
        <f>SUM(H71:I71)</f>
        <v>310</v>
      </c>
      <c r="K71" s="9">
        <f>J71-F71</f>
        <v>30</v>
      </c>
      <c r="L71" s="8">
        <f>IF(F71="","NEW",K71/F71)</f>
        <v>0.10714285714285714</v>
      </c>
    </row>
    <row r="72" spans="1:12" x14ac:dyDescent="0.35">
      <c r="A72" s="470">
        <f>A71+1</f>
        <v>39</v>
      </c>
      <c r="B72" s="469" t="s">
        <v>1253</v>
      </c>
      <c r="C72" s="16" t="s">
        <v>12</v>
      </c>
      <c r="D72" s="15">
        <v>329.17</v>
      </c>
      <c r="E72" s="15">
        <f>ROUND(D72*0.2,2)</f>
        <v>65.83</v>
      </c>
      <c r="F72" s="15">
        <f>SUM(D72:E72)</f>
        <v>395</v>
      </c>
      <c r="G72" s="15"/>
      <c r="H72" s="15">
        <v>362.5</v>
      </c>
      <c r="I72" s="15">
        <f>ROUND(H72*0.2,2)</f>
        <v>72.5</v>
      </c>
      <c r="J72" s="15">
        <f>SUM(H72:I72)</f>
        <v>435</v>
      </c>
      <c r="K72" s="9">
        <f>J72-F72</f>
        <v>40</v>
      </c>
      <c r="L72" s="8">
        <f>IF(F72="","NEW",K72/F72)</f>
        <v>0.10126582278481013</v>
      </c>
    </row>
    <row r="73" spans="1:12" x14ac:dyDescent="0.35">
      <c r="A73" s="470"/>
      <c r="B73" s="472"/>
      <c r="C73" s="16"/>
      <c r="D73" s="15"/>
      <c r="E73" s="15"/>
      <c r="F73" s="15"/>
      <c r="G73" s="15"/>
      <c r="H73" s="15"/>
      <c r="I73" s="15"/>
      <c r="J73" s="15"/>
      <c r="K73" s="9"/>
      <c r="L73" s="8"/>
    </row>
    <row r="74" spans="1:12" ht="17" thickBot="1" x14ac:dyDescent="0.4">
      <c r="A74" s="67"/>
      <c r="B74" s="271" t="s">
        <v>666</v>
      </c>
      <c r="C74" s="16"/>
      <c r="D74" s="15"/>
      <c r="E74" s="15"/>
      <c r="F74" s="18"/>
      <c r="G74" s="15"/>
      <c r="H74" s="15"/>
      <c r="I74" s="15"/>
      <c r="J74" s="18"/>
      <c r="K74" s="9"/>
      <c r="L74" s="8"/>
    </row>
    <row r="75" spans="1:12" x14ac:dyDescent="0.35">
      <c r="A75" s="67">
        <f>A72+1</f>
        <v>40</v>
      </c>
      <c r="B75" s="469" t="s">
        <v>667</v>
      </c>
      <c r="C75" s="16" t="s">
        <v>12</v>
      </c>
      <c r="D75" s="15">
        <v>704.17</v>
      </c>
      <c r="E75" s="15">
        <f t="shared" ref="E75:E77" si="11">ROUND(D75*0.2,2)</f>
        <v>140.83000000000001</v>
      </c>
      <c r="F75" s="15">
        <f>SUM(D75:E75)</f>
        <v>845</v>
      </c>
      <c r="G75" s="15"/>
      <c r="H75" s="15">
        <v>775</v>
      </c>
      <c r="I75" s="15">
        <f t="shared" ref="I75:I77" si="12">ROUND(H75*0.2,2)</f>
        <v>155</v>
      </c>
      <c r="J75" s="15">
        <f>SUM(H75:I75)</f>
        <v>930</v>
      </c>
      <c r="K75" s="9">
        <f>J75-F75</f>
        <v>85</v>
      </c>
      <c r="L75" s="8">
        <f>IF(F75="","NEW",K75/F75)</f>
        <v>0.10059171597633136</v>
      </c>
    </row>
    <row r="76" spans="1:12" x14ac:dyDescent="0.35">
      <c r="A76" s="470">
        <f>1+A75</f>
        <v>41</v>
      </c>
      <c r="B76" s="469" t="s">
        <v>668</v>
      </c>
      <c r="C76" s="16" t="s">
        <v>12</v>
      </c>
      <c r="D76" s="15">
        <v>808.33</v>
      </c>
      <c r="E76" s="15">
        <f t="shared" si="11"/>
        <v>161.66999999999999</v>
      </c>
      <c r="F76" s="15">
        <f>SUM(D76:E76)</f>
        <v>970</v>
      </c>
      <c r="G76" s="15"/>
      <c r="H76" s="15">
        <v>887.5</v>
      </c>
      <c r="I76" s="15">
        <f t="shared" si="12"/>
        <v>177.5</v>
      </c>
      <c r="J76" s="15">
        <f>SUM(H76:I76)</f>
        <v>1065</v>
      </c>
      <c r="K76" s="9">
        <f>J76-F76</f>
        <v>95</v>
      </c>
      <c r="L76" s="8">
        <f>IF(F76="","NEW",K76/F76)</f>
        <v>9.7938144329896906E-2</v>
      </c>
    </row>
    <row r="77" spans="1:12" x14ac:dyDescent="0.35">
      <c r="A77" s="67">
        <f>A76+1</f>
        <v>42</v>
      </c>
      <c r="B77" s="469" t="s">
        <v>669</v>
      </c>
      <c r="C77" s="16" t="s">
        <v>12</v>
      </c>
      <c r="D77" s="15">
        <v>50</v>
      </c>
      <c r="E77" s="15">
        <f t="shared" si="11"/>
        <v>10</v>
      </c>
      <c r="F77" s="15">
        <f>SUM(D77:E77)</f>
        <v>60</v>
      </c>
      <c r="G77" s="15"/>
      <c r="H77" s="15">
        <v>54.17</v>
      </c>
      <c r="I77" s="15">
        <f t="shared" si="12"/>
        <v>10.83</v>
      </c>
      <c r="J77" s="15">
        <f>SUM(H77:I77)</f>
        <v>65</v>
      </c>
      <c r="K77" s="9">
        <f>J77-F77</f>
        <v>5</v>
      </c>
      <c r="L77" s="8">
        <f>IF(F77="","NEW",K77/F77)</f>
        <v>8.3333333333333329E-2</v>
      </c>
    </row>
    <row r="78" spans="1:12" x14ac:dyDescent="0.35">
      <c r="A78" s="470"/>
      <c r="B78" s="472"/>
      <c r="C78" s="16"/>
      <c r="D78" s="15"/>
      <c r="E78" s="15"/>
      <c r="F78" s="15"/>
      <c r="G78" s="15"/>
      <c r="H78" s="15"/>
      <c r="I78" s="15"/>
      <c r="J78" s="15"/>
      <c r="K78" s="9"/>
      <c r="L78" s="8"/>
    </row>
    <row r="79" spans="1:12" ht="55.5" customHeight="1" thickBot="1" x14ac:dyDescent="0.4">
      <c r="A79" s="467"/>
      <c r="B79" s="271" t="s">
        <v>1257</v>
      </c>
      <c r="C79" s="16"/>
      <c r="D79" s="10"/>
      <c r="E79" s="10"/>
      <c r="F79" s="15"/>
      <c r="G79" s="15"/>
      <c r="H79" s="10"/>
      <c r="I79" s="10"/>
      <c r="J79" s="15"/>
      <c r="K79" s="9"/>
      <c r="L79" s="8"/>
    </row>
    <row r="80" spans="1:12" x14ac:dyDescent="0.35">
      <c r="A80" s="470">
        <f>A77+1</f>
        <v>43</v>
      </c>
      <c r="B80" s="472" t="s">
        <v>1258</v>
      </c>
      <c r="C80" s="16" t="s">
        <v>12</v>
      </c>
      <c r="D80" s="15">
        <v>595</v>
      </c>
      <c r="E80" s="15"/>
      <c r="F80" s="15">
        <f t="shared" ref="F80:F85" si="13">SUM(D80:E80)</f>
        <v>595</v>
      </c>
      <c r="G80" s="15"/>
      <c r="H80" s="15">
        <v>655</v>
      </c>
      <c r="I80" s="15"/>
      <c r="J80" s="15">
        <f t="shared" ref="J80:J85" si="14">SUM(H80:I80)</f>
        <v>655</v>
      </c>
      <c r="K80" s="9">
        <f t="shared" ref="K80:K85" si="15">J80-F80</f>
        <v>60</v>
      </c>
      <c r="L80" s="8">
        <f t="shared" ref="L80:L85" si="16">IF(F80="","NEW",K80/F80)</f>
        <v>0.10084033613445378</v>
      </c>
    </row>
    <row r="81" spans="1:12" x14ac:dyDescent="0.35">
      <c r="A81" s="470">
        <f>A80+1</f>
        <v>44</v>
      </c>
      <c r="B81" s="472" t="s">
        <v>1253</v>
      </c>
      <c r="C81" s="16" t="s">
        <v>12</v>
      </c>
      <c r="D81" s="15">
        <v>665</v>
      </c>
      <c r="E81" s="73"/>
      <c r="F81" s="15">
        <f t="shared" si="13"/>
        <v>665</v>
      </c>
      <c r="G81" s="73"/>
      <c r="H81" s="15">
        <v>730</v>
      </c>
      <c r="I81" s="15"/>
      <c r="J81" s="15">
        <f t="shared" si="14"/>
        <v>730</v>
      </c>
      <c r="K81" s="9">
        <f t="shared" si="15"/>
        <v>65</v>
      </c>
      <c r="L81" s="8">
        <f t="shared" si="16"/>
        <v>9.7744360902255634E-2</v>
      </c>
    </row>
    <row r="82" spans="1:12" x14ac:dyDescent="0.35">
      <c r="A82" s="470">
        <f>A81+1</f>
        <v>45</v>
      </c>
      <c r="B82" s="472" t="s">
        <v>1259</v>
      </c>
      <c r="C82" s="16" t="s">
        <v>12</v>
      </c>
      <c r="D82" s="15">
        <v>730</v>
      </c>
      <c r="E82" s="15"/>
      <c r="F82" s="15">
        <f t="shared" si="13"/>
        <v>730</v>
      </c>
      <c r="G82" s="15"/>
      <c r="H82" s="15">
        <v>800</v>
      </c>
      <c r="I82" s="15"/>
      <c r="J82" s="15">
        <f t="shared" si="14"/>
        <v>800</v>
      </c>
      <c r="K82" s="9">
        <f t="shared" si="15"/>
        <v>70</v>
      </c>
      <c r="L82" s="8">
        <f t="shared" si="16"/>
        <v>9.5890410958904104E-2</v>
      </c>
    </row>
    <row r="83" spans="1:12" x14ac:dyDescent="0.35">
      <c r="A83" s="470">
        <f>A82+1</f>
        <v>46</v>
      </c>
      <c r="B83" s="472" t="s">
        <v>1260</v>
      </c>
      <c r="C83" s="16" t="s">
        <v>12</v>
      </c>
      <c r="D83" s="15">
        <v>730</v>
      </c>
      <c r="E83" s="15"/>
      <c r="F83" s="15">
        <f t="shared" si="13"/>
        <v>730</v>
      </c>
      <c r="G83" s="15"/>
      <c r="H83" s="15">
        <v>800</v>
      </c>
      <c r="I83" s="15"/>
      <c r="J83" s="15">
        <f t="shared" si="14"/>
        <v>800</v>
      </c>
      <c r="K83" s="9">
        <f t="shared" si="15"/>
        <v>70</v>
      </c>
      <c r="L83" s="8">
        <f t="shared" si="16"/>
        <v>9.5890410958904104E-2</v>
      </c>
    </row>
    <row r="84" spans="1:12" x14ac:dyDescent="0.35">
      <c r="A84" s="470">
        <f>A83+1</f>
        <v>47</v>
      </c>
      <c r="B84" s="472" t="s">
        <v>1261</v>
      </c>
      <c r="C84" s="16" t="s">
        <v>12</v>
      </c>
      <c r="D84" s="15">
        <v>870</v>
      </c>
      <c r="E84" s="15"/>
      <c r="F84" s="15">
        <f t="shared" si="13"/>
        <v>870</v>
      </c>
      <c r="G84" s="15"/>
      <c r="H84" s="15">
        <v>955</v>
      </c>
      <c r="I84" s="15"/>
      <c r="J84" s="15">
        <f t="shared" si="14"/>
        <v>955</v>
      </c>
      <c r="K84" s="9">
        <f t="shared" si="15"/>
        <v>85</v>
      </c>
      <c r="L84" s="8">
        <f t="shared" si="16"/>
        <v>9.7701149425287362E-2</v>
      </c>
    </row>
    <row r="85" spans="1:12" x14ac:dyDescent="0.35">
      <c r="A85" s="470">
        <f>A84+1</f>
        <v>48</v>
      </c>
      <c r="B85" s="472" t="s">
        <v>1262</v>
      </c>
      <c r="C85" s="16" t="s">
        <v>12</v>
      </c>
      <c r="D85" s="15">
        <v>985</v>
      </c>
      <c r="E85" s="15"/>
      <c r="F85" s="15">
        <f t="shared" si="13"/>
        <v>985</v>
      </c>
      <c r="G85" s="15"/>
      <c r="H85" s="15">
        <v>1085</v>
      </c>
      <c r="I85" s="15"/>
      <c r="J85" s="15">
        <f t="shared" si="14"/>
        <v>1085</v>
      </c>
      <c r="K85" s="9">
        <f t="shared" si="15"/>
        <v>100</v>
      </c>
      <c r="L85" s="8">
        <f t="shared" si="16"/>
        <v>0.10152284263959391</v>
      </c>
    </row>
    <row r="86" spans="1:12" x14ac:dyDescent="0.35">
      <c r="A86" s="470"/>
      <c r="B86" s="473"/>
      <c r="C86" s="16"/>
      <c r="D86" s="15"/>
      <c r="E86" s="15"/>
      <c r="F86" s="73"/>
      <c r="G86" s="73"/>
      <c r="H86" s="15"/>
      <c r="I86" s="15"/>
      <c r="J86" s="15"/>
      <c r="K86" s="9"/>
      <c r="L86" s="8"/>
    </row>
    <row r="87" spans="1:12" ht="50" thickBot="1" x14ac:dyDescent="0.4">
      <c r="A87" s="470"/>
      <c r="B87" s="276" t="s">
        <v>1263</v>
      </c>
      <c r="C87" s="16"/>
      <c r="D87" s="15"/>
      <c r="E87" s="15"/>
      <c r="F87" s="15"/>
      <c r="G87" s="15"/>
      <c r="H87" s="15"/>
      <c r="I87" s="15"/>
      <c r="J87" s="15"/>
      <c r="K87" s="9"/>
      <c r="L87" s="8"/>
    </row>
    <row r="88" spans="1:12" x14ac:dyDescent="0.35">
      <c r="A88" s="470">
        <f>A85+1</f>
        <v>49</v>
      </c>
      <c r="B88" s="472" t="s">
        <v>1258</v>
      </c>
      <c r="C88" s="16" t="s">
        <v>12</v>
      </c>
      <c r="D88" s="15">
        <v>365</v>
      </c>
      <c r="E88" s="15"/>
      <c r="F88" s="15">
        <f>SUM(D88:E88)</f>
        <v>365</v>
      </c>
      <c r="G88" s="15"/>
      <c r="H88" s="15">
        <v>333.33</v>
      </c>
      <c r="I88" s="15">
        <f>ROUND(H88*0.2,2)</f>
        <v>66.67</v>
      </c>
      <c r="J88" s="15">
        <f>SUM(H88:I88)</f>
        <v>400</v>
      </c>
      <c r="K88" s="9">
        <f>J88-F88</f>
        <v>35</v>
      </c>
      <c r="L88" s="8">
        <f>IF(F88="","NEW",K88/F88)</f>
        <v>9.5890410958904104E-2</v>
      </c>
    </row>
    <row r="89" spans="1:12" x14ac:dyDescent="0.35">
      <c r="A89" s="470">
        <f>A88+1</f>
        <v>50</v>
      </c>
      <c r="B89" s="472" t="s">
        <v>1253</v>
      </c>
      <c r="C89" s="16" t="s">
        <v>12</v>
      </c>
      <c r="D89" s="15">
        <v>400</v>
      </c>
      <c r="E89" s="15"/>
      <c r="F89" s="15">
        <f>SUM(D89:E89)</f>
        <v>400</v>
      </c>
      <c r="G89" s="15"/>
      <c r="H89" s="15">
        <v>366.67</v>
      </c>
      <c r="I89" s="15">
        <f>ROUND(H89*0.2,2)</f>
        <v>73.33</v>
      </c>
      <c r="J89" s="15">
        <f>SUM(H89:I89)</f>
        <v>440</v>
      </c>
      <c r="K89" s="9">
        <f>J89-F89</f>
        <v>40</v>
      </c>
      <c r="L89" s="8">
        <f>IF(F89="","NEW",K89/F89)</f>
        <v>0.1</v>
      </c>
    </row>
    <row r="90" spans="1:12" x14ac:dyDescent="0.35">
      <c r="A90" s="470">
        <f>1+A89</f>
        <v>51</v>
      </c>
      <c r="B90" s="472" t="s">
        <v>1259</v>
      </c>
      <c r="C90" s="16" t="s">
        <v>12</v>
      </c>
      <c r="D90" s="15">
        <v>445</v>
      </c>
      <c r="E90" s="15"/>
      <c r="F90" s="15">
        <f>SUM(D90:E90)</f>
        <v>445</v>
      </c>
      <c r="G90" s="15"/>
      <c r="H90" s="15">
        <v>408.33</v>
      </c>
      <c r="I90" s="15">
        <f>ROUND(H90*0.2,2)</f>
        <v>81.67</v>
      </c>
      <c r="J90" s="15">
        <f>SUM(H90:I90)</f>
        <v>490</v>
      </c>
      <c r="K90" s="9">
        <f>J90-F90</f>
        <v>45</v>
      </c>
      <c r="L90" s="8">
        <f>IF(F90="","NEW",K90/F90)</f>
        <v>0.10112359550561797</v>
      </c>
    </row>
    <row r="91" spans="1:12" x14ac:dyDescent="0.35">
      <c r="A91" s="470"/>
      <c r="B91" s="472"/>
      <c r="C91" s="16"/>
      <c r="D91" s="15"/>
      <c r="E91" s="15"/>
      <c r="F91" s="15"/>
      <c r="G91" s="15"/>
      <c r="H91" s="15"/>
      <c r="I91" s="15"/>
      <c r="J91" s="15"/>
      <c r="K91" s="9"/>
      <c r="L91" s="8"/>
    </row>
    <row r="92" spans="1:12" ht="33.5" thickBot="1" x14ac:dyDescent="0.4">
      <c r="A92" s="470"/>
      <c r="B92" s="288" t="s">
        <v>1264</v>
      </c>
      <c r="C92" s="16"/>
      <c r="D92" s="15"/>
      <c r="E92" s="15"/>
      <c r="F92" s="15"/>
      <c r="G92" s="15"/>
      <c r="H92" s="15"/>
      <c r="I92" s="15"/>
      <c r="J92" s="15"/>
      <c r="K92" s="9"/>
      <c r="L92" s="8"/>
    </row>
    <row r="93" spans="1:12" x14ac:dyDescent="0.35">
      <c r="A93" s="470">
        <f>A90+1</f>
        <v>52</v>
      </c>
      <c r="B93" s="108" t="s">
        <v>1258</v>
      </c>
      <c r="C93" s="16" t="s">
        <v>12</v>
      </c>
      <c r="D93" s="15">
        <v>304.17</v>
      </c>
      <c r="E93" s="15">
        <f>ROUND(D93*0.2,2)</f>
        <v>60.83</v>
      </c>
      <c r="F93" s="15">
        <f>SUM(D93:E93)</f>
        <v>365</v>
      </c>
      <c r="G93" s="15"/>
      <c r="H93" s="15">
        <v>333.33</v>
      </c>
      <c r="I93" s="15">
        <f>ROUND(H93*0.2,2)</f>
        <v>66.67</v>
      </c>
      <c r="J93" s="15">
        <f>SUM(H93:I93)</f>
        <v>400</v>
      </c>
      <c r="K93" s="9">
        <f>J93-F93</f>
        <v>35</v>
      </c>
      <c r="L93" s="8">
        <f>IF(F93="","NEW",K93/F93)</f>
        <v>9.5890410958904104E-2</v>
      </c>
    </row>
    <row r="94" spans="1:12" x14ac:dyDescent="0.35">
      <c r="A94" s="470">
        <f>A93+1</f>
        <v>53</v>
      </c>
      <c r="B94" s="474" t="s">
        <v>1265</v>
      </c>
      <c r="C94" s="16" t="s">
        <v>12</v>
      </c>
      <c r="D94" s="15">
        <v>333.33</v>
      </c>
      <c r="E94" s="15">
        <f>ROUND(D94*0.2,2)</f>
        <v>66.67</v>
      </c>
      <c r="F94" s="15">
        <f>SUM(D94:E94)</f>
        <v>400</v>
      </c>
      <c r="G94" s="15"/>
      <c r="H94" s="15">
        <v>366.67</v>
      </c>
      <c r="I94" s="15">
        <f>ROUND(H94*0.2,2)</f>
        <v>73.33</v>
      </c>
      <c r="J94" s="15">
        <f>SUM(H94:I94)</f>
        <v>440</v>
      </c>
      <c r="K94" s="9">
        <f>J94-F94</f>
        <v>40</v>
      </c>
      <c r="L94" s="8">
        <f>IF(F94="","NEW",K94/F94)</f>
        <v>0.1</v>
      </c>
    </row>
    <row r="95" spans="1:12" x14ac:dyDescent="0.35">
      <c r="A95" s="470">
        <f>A94+1</f>
        <v>54</v>
      </c>
      <c r="B95" s="475" t="s">
        <v>1259</v>
      </c>
      <c r="C95" s="16" t="s">
        <v>12</v>
      </c>
      <c r="D95" s="15">
        <v>370.83</v>
      </c>
      <c r="E95" s="15">
        <f>ROUND(D95*0.2,2)</f>
        <v>74.17</v>
      </c>
      <c r="F95" s="15">
        <f>SUM(D95:E95)</f>
        <v>445</v>
      </c>
      <c r="G95" s="15"/>
      <c r="H95" s="15">
        <v>408.33</v>
      </c>
      <c r="I95" s="15">
        <f>ROUND(H95*0.2,2)</f>
        <v>81.67</v>
      </c>
      <c r="J95" s="15">
        <f>SUM(H95:I95)</f>
        <v>490</v>
      </c>
      <c r="K95" s="9">
        <f>J95-F95</f>
        <v>45</v>
      </c>
      <c r="L95" s="8">
        <f>IF(F95="","NEW",K95/F95)</f>
        <v>0.10112359550561797</v>
      </c>
    </row>
    <row r="96" spans="1:12" x14ac:dyDescent="0.35">
      <c r="A96" s="470"/>
      <c r="B96" s="475"/>
      <c r="C96" s="16"/>
      <c r="D96" s="15"/>
      <c r="E96" s="15"/>
      <c r="F96" s="15"/>
      <c r="G96" s="15"/>
      <c r="H96" s="15"/>
      <c r="I96" s="15"/>
      <c r="J96" s="15"/>
      <c r="K96" s="9"/>
      <c r="L96" s="8"/>
    </row>
    <row r="97" spans="1:14" ht="18.5" thickBot="1" x14ac:dyDescent="0.45">
      <c r="A97" s="470"/>
      <c r="B97" s="284" t="s">
        <v>1266</v>
      </c>
      <c r="C97" s="16"/>
      <c r="D97" s="15"/>
      <c r="E97" s="15"/>
      <c r="F97" s="18"/>
      <c r="G97" s="15"/>
      <c r="H97" s="15"/>
      <c r="I97" s="15"/>
      <c r="J97" s="18"/>
      <c r="K97" s="9"/>
      <c r="L97" s="8"/>
    </row>
    <row r="98" spans="1:14" ht="16" thickTop="1" x14ac:dyDescent="0.35">
      <c r="A98" s="470">
        <f>A95+1</f>
        <v>55</v>
      </c>
      <c r="B98" s="465" t="s">
        <v>1267</v>
      </c>
      <c r="C98" s="16" t="s">
        <v>12</v>
      </c>
      <c r="D98" s="15">
        <v>530</v>
      </c>
      <c r="E98" s="15"/>
      <c r="F98" s="15">
        <f>SUM(D98:E98)</f>
        <v>530</v>
      </c>
      <c r="G98" s="15"/>
      <c r="H98" s="15">
        <v>585</v>
      </c>
      <c r="I98" s="15"/>
      <c r="J98" s="15">
        <f>SUM(H98:I98)</f>
        <v>585</v>
      </c>
      <c r="K98" s="9">
        <f>J98-F98</f>
        <v>55</v>
      </c>
      <c r="L98" s="8">
        <f>IF(F98="","NEW",K98/F98)</f>
        <v>0.10377358490566038</v>
      </c>
    </row>
    <row r="99" spans="1:14" x14ac:dyDescent="0.35">
      <c r="A99" s="470">
        <f>A98+1</f>
        <v>56</v>
      </c>
      <c r="B99" s="465" t="s">
        <v>1268</v>
      </c>
      <c r="C99" s="16" t="s">
        <v>12</v>
      </c>
      <c r="D99" s="15">
        <v>570</v>
      </c>
      <c r="E99" s="15"/>
      <c r="F99" s="15">
        <f>SUM(D99:E99)</f>
        <v>570</v>
      </c>
      <c r="G99" s="15"/>
      <c r="H99" s="15">
        <v>630</v>
      </c>
      <c r="I99" s="15"/>
      <c r="J99" s="15">
        <f>SUM(H99:I99)</f>
        <v>630</v>
      </c>
      <c r="K99" s="9">
        <f>J99-F99</f>
        <v>60</v>
      </c>
      <c r="L99" s="8">
        <f>IF(F99="","NEW",K99/F99)</f>
        <v>0.10526315789473684</v>
      </c>
    </row>
    <row r="100" spans="1:14" x14ac:dyDescent="0.35">
      <c r="A100" s="470">
        <f>1+A99</f>
        <v>57</v>
      </c>
      <c r="B100" s="465" t="s">
        <v>1269</v>
      </c>
      <c r="C100" s="16" t="s">
        <v>12</v>
      </c>
      <c r="D100" s="15">
        <v>345</v>
      </c>
      <c r="E100" s="15"/>
      <c r="F100" s="15">
        <f>SUM(D100:E100)</f>
        <v>345</v>
      </c>
      <c r="G100" s="15"/>
      <c r="H100" s="15">
        <v>380</v>
      </c>
      <c r="I100" s="15"/>
      <c r="J100" s="15">
        <f>SUM(H100:I100)</f>
        <v>380</v>
      </c>
      <c r="K100" s="9">
        <f>J100-F100</f>
        <v>35</v>
      </c>
      <c r="L100" s="8">
        <f>IF(F100="","NEW",K100/F100)</f>
        <v>0.10144927536231885</v>
      </c>
    </row>
    <row r="101" spans="1:14" ht="17" thickBot="1" x14ac:dyDescent="0.4">
      <c r="A101" s="470"/>
      <c r="B101" s="476"/>
      <c r="C101" s="16"/>
      <c r="D101" s="15"/>
      <c r="E101" s="15"/>
      <c r="F101" s="15"/>
      <c r="G101" s="15"/>
      <c r="H101" s="15"/>
      <c r="I101" s="15"/>
      <c r="J101" s="15"/>
      <c r="K101" s="9"/>
      <c r="L101" s="8"/>
    </row>
    <row r="102" spans="1:14" ht="19" thickTop="1" thickBot="1" x14ac:dyDescent="0.4">
      <c r="A102" s="470"/>
      <c r="B102" s="259" t="s">
        <v>1270</v>
      </c>
      <c r="C102" s="16"/>
      <c r="D102" s="15"/>
      <c r="E102" s="15"/>
      <c r="F102" s="15"/>
      <c r="G102" s="15"/>
      <c r="H102" s="15"/>
      <c r="I102" s="15"/>
      <c r="J102" s="15"/>
      <c r="K102" s="9"/>
      <c r="L102" s="8"/>
    </row>
    <row r="103" spans="1:14" ht="16" thickTop="1" x14ac:dyDescent="0.35">
      <c r="A103" s="470">
        <f>A100+1</f>
        <v>58</v>
      </c>
      <c r="B103" s="465" t="s">
        <v>1271</v>
      </c>
      <c r="C103" s="16" t="s">
        <v>12</v>
      </c>
      <c r="D103" s="15">
        <v>2200</v>
      </c>
      <c r="E103" s="15"/>
      <c r="F103" s="15">
        <f>SUM(D103:E103)</f>
        <v>2200</v>
      </c>
      <c r="G103" s="15"/>
      <c r="H103" s="15">
        <v>2400</v>
      </c>
      <c r="I103" s="15"/>
      <c r="J103" s="15">
        <f>SUM(H103:I103)</f>
        <v>2400</v>
      </c>
      <c r="K103" s="9">
        <f>J103-F103</f>
        <v>200</v>
      </c>
      <c r="L103" s="8">
        <f>IF(F103="","NEW",K103/F103)</f>
        <v>9.0909090909090912E-2</v>
      </c>
    </row>
    <row r="104" spans="1:14" x14ac:dyDescent="0.35">
      <c r="A104" s="470">
        <f>1+A103</f>
        <v>59</v>
      </c>
      <c r="B104" s="465" t="s">
        <v>1272</v>
      </c>
      <c r="C104" s="16" t="s">
        <v>12</v>
      </c>
      <c r="D104" s="15">
        <v>755</v>
      </c>
      <c r="E104" s="15"/>
      <c r="F104" s="15">
        <f>SUM(D104:E104)</f>
        <v>755</v>
      </c>
      <c r="G104" s="15"/>
      <c r="H104" s="15">
        <v>830</v>
      </c>
      <c r="I104" s="15"/>
      <c r="J104" s="15">
        <f>SUM(H104:I104)</f>
        <v>830</v>
      </c>
      <c r="K104" s="9">
        <f>J104-F104</f>
        <v>75</v>
      </c>
      <c r="L104" s="8">
        <f>IF(F104="","NEW",K104/F104)</f>
        <v>9.9337748344370855E-2</v>
      </c>
    </row>
    <row r="105" spans="1:14" x14ac:dyDescent="0.35">
      <c r="A105" s="470">
        <f>1+A104</f>
        <v>60</v>
      </c>
      <c r="B105" s="465" t="s">
        <v>1273</v>
      </c>
      <c r="C105" s="16" t="s">
        <v>12</v>
      </c>
      <c r="D105" s="15">
        <v>90</v>
      </c>
      <c r="E105" s="15"/>
      <c r="F105" s="15">
        <f>SUM(D105:E105)</f>
        <v>90</v>
      </c>
      <c r="G105" s="15"/>
      <c r="H105" s="15">
        <v>100</v>
      </c>
      <c r="I105" s="15"/>
      <c r="J105" s="15">
        <f>SUM(H105:I105)</f>
        <v>100</v>
      </c>
      <c r="K105" s="9">
        <f>J105-F105</f>
        <v>10</v>
      </c>
      <c r="L105" s="8">
        <f>IF(F105="","NEW",K105/F105)</f>
        <v>0.1111111111111111</v>
      </c>
    </row>
    <row r="106" spans="1:14" x14ac:dyDescent="0.35">
      <c r="A106" s="470"/>
      <c r="B106" s="465"/>
      <c r="C106" s="16"/>
      <c r="D106" s="15"/>
      <c r="E106" s="15"/>
      <c r="F106" s="15"/>
      <c r="G106" s="15"/>
      <c r="H106" s="15"/>
      <c r="I106" s="15"/>
      <c r="J106" s="15"/>
      <c r="K106" s="9"/>
      <c r="L106" s="8"/>
    </row>
    <row r="107" spans="1:14" ht="18.5" thickBot="1" x14ac:dyDescent="0.4">
      <c r="A107" s="470"/>
      <c r="B107" s="259" t="s">
        <v>1274</v>
      </c>
      <c r="C107" s="16"/>
      <c r="D107" s="15"/>
      <c r="E107" s="15"/>
      <c r="F107" s="15"/>
      <c r="G107" s="15"/>
      <c r="H107" s="15"/>
      <c r="I107" s="15"/>
      <c r="J107" s="15"/>
      <c r="K107" s="9"/>
      <c r="L107" s="8"/>
    </row>
    <row r="108" spans="1:14" ht="16" thickTop="1" x14ac:dyDescent="0.35">
      <c r="A108" s="470">
        <f>A105+1</f>
        <v>61</v>
      </c>
      <c r="B108" s="465" t="s">
        <v>1275</v>
      </c>
      <c r="C108" s="16" t="s">
        <v>12</v>
      </c>
      <c r="D108" s="15">
        <v>2.29</v>
      </c>
      <c r="E108" s="15">
        <f>ROUND(D108*0.2,2)</f>
        <v>0.46</v>
      </c>
      <c r="F108" s="15">
        <f>SUM(D108:E108)</f>
        <v>2.75</v>
      </c>
      <c r="G108" s="15"/>
      <c r="H108" s="15">
        <v>2.5</v>
      </c>
      <c r="I108" s="15">
        <f>ROUND(H108*0.2,2)</f>
        <v>0.5</v>
      </c>
      <c r="J108" s="15">
        <f>SUM(H108:I108)</f>
        <v>3</v>
      </c>
      <c r="K108" s="9">
        <f>J108-F108</f>
        <v>0.25</v>
      </c>
      <c r="L108" s="8">
        <f>IF(F108="","NEW",K108/F108)</f>
        <v>9.0909090909090912E-2</v>
      </c>
    </row>
    <row r="109" spans="1:14" x14ac:dyDescent="0.35">
      <c r="A109" s="470"/>
      <c r="B109" s="474"/>
      <c r="C109" s="16"/>
      <c r="D109" s="15"/>
      <c r="E109" s="15"/>
      <c r="F109" s="15"/>
      <c r="G109" s="15"/>
      <c r="H109" s="15"/>
      <c r="I109" s="15"/>
      <c r="J109" s="15"/>
      <c r="K109" s="9"/>
      <c r="L109" s="8"/>
    </row>
    <row r="110" spans="1:14" ht="18.5" thickBot="1" x14ac:dyDescent="0.4">
      <c r="A110" s="470"/>
      <c r="B110" s="259" t="s">
        <v>1276</v>
      </c>
      <c r="C110" s="16"/>
      <c r="D110" s="15"/>
      <c r="E110" s="15"/>
      <c r="F110" s="15"/>
      <c r="G110" s="15"/>
      <c r="H110" s="15"/>
      <c r="I110" s="15"/>
      <c r="J110" s="15"/>
      <c r="K110" s="9"/>
      <c r="L110" s="8"/>
    </row>
    <row r="111" spans="1:14" ht="16" thickTop="1" x14ac:dyDescent="0.35">
      <c r="A111" s="470"/>
      <c r="B111" s="465" t="s">
        <v>1277</v>
      </c>
      <c r="C111" s="16"/>
      <c r="D111" s="15"/>
      <c r="E111" s="15"/>
      <c r="F111" s="15"/>
      <c r="G111" s="15"/>
      <c r="H111" s="15"/>
      <c r="I111" s="15"/>
      <c r="J111" s="15"/>
      <c r="K111" s="9"/>
      <c r="L111" s="8"/>
    </row>
    <row r="112" spans="1:14" ht="31" x14ac:dyDescent="0.35">
      <c r="A112" s="470">
        <f>A108+1</f>
        <v>62</v>
      </c>
      <c r="B112" s="465" t="s">
        <v>1278</v>
      </c>
      <c r="C112" s="16" t="s">
        <v>12</v>
      </c>
      <c r="D112" s="15">
        <v>50</v>
      </c>
      <c r="E112" s="15"/>
      <c r="F112" s="15">
        <f>SUM(D112:E112)</f>
        <v>50</v>
      </c>
      <c r="G112" s="15"/>
      <c r="H112" s="15">
        <v>50</v>
      </c>
      <c r="I112" s="15"/>
      <c r="J112" s="15">
        <f>SUM(H112:I112)</f>
        <v>50</v>
      </c>
      <c r="K112" s="9">
        <f>J112-F112</f>
        <v>0</v>
      </c>
      <c r="L112" s="8">
        <f>IF(F112="","NEW",K112/F112)</f>
        <v>0</v>
      </c>
      <c r="N112" s="338"/>
    </row>
    <row r="113" spans="1:14" x14ac:dyDescent="0.35">
      <c r="A113" s="470">
        <f>1+A112</f>
        <v>63</v>
      </c>
      <c r="B113" s="465" t="s">
        <v>1279</v>
      </c>
      <c r="C113" s="16" t="s">
        <v>12</v>
      </c>
      <c r="D113" s="15">
        <v>25</v>
      </c>
      <c r="E113" s="15"/>
      <c r="F113" s="15">
        <f>SUM(D113:E113)</f>
        <v>25</v>
      </c>
      <c r="G113" s="15"/>
      <c r="H113" s="15">
        <v>25</v>
      </c>
      <c r="I113" s="15"/>
      <c r="J113" s="15">
        <f>SUM(H113:I113)</f>
        <v>25</v>
      </c>
      <c r="K113" s="9">
        <f>J113-F113</f>
        <v>0</v>
      </c>
      <c r="L113" s="8">
        <f>IF(F113="","NEW",K113/F113)</f>
        <v>0</v>
      </c>
    </row>
    <row r="114" spans="1:14" x14ac:dyDescent="0.35">
      <c r="A114" s="470">
        <f>1+A113</f>
        <v>64</v>
      </c>
      <c r="B114" s="474" t="s">
        <v>1280</v>
      </c>
      <c r="C114" s="16" t="s">
        <v>12</v>
      </c>
      <c r="D114" s="523" t="s">
        <v>1281</v>
      </c>
      <c r="E114" s="524"/>
      <c r="F114" s="524"/>
      <c r="G114" s="524"/>
      <c r="H114" s="524"/>
      <c r="I114" s="524"/>
      <c r="J114" s="525"/>
      <c r="K114" s="9"/>
      <c r="L114" s="8"/>
    </row>
    <row r="115" spans="1:14" x14ac:dyDescent="0.35">
      <c r="A115" s="470">
        <f>1+A114</f>
        <v>65</v>
      </c>
      <c r="B115" s="474" t="s">
        <v>1282</v>
      </c>
      <c r="C115" s="16" t="s">
        <v>12</v>
      </c>
      <c r="D115" s="523" t="s">
        <v>1281</v>
      </c>
      <c r="E115" s="524"/>
      <c r="F115" s="524"/>
      <c r="G115" s="524"/>
      <c r="H115" s="524"/>
      <c r="I115" s="524"/>
      <c r="J115" s="525"/>
      <c r="K115" s="9"/>
      <c r="L115" s="8"/>
    </row>
    <row r="116" spans="1:14" x14ac:dyDescent="0.35">
      <c r="A116" s="470">
        <f>1+A115</f>
        <v>66</v>
      </c>
      <c r="B116" s="465" t="s">
        <v>1283</v>
      </c>
      <c r="C116" s="16" t="s">
        <v>12</v>
      </c>
      <c r="D116" s="15">
        <v>5.5</v>
      </c>
      <c r="E116" s="15"/>
      <c r="F116" s="15">
        <f>SUM(D116:E116)</f>
        <v>5.5</v>
      </c>
      <c r="G116" s="15"/>
      <c r="H116" s="15">
        <v>6.25</v>
      </c>
      <c r="I116" s="15"/>
      <c r="J116" s="15">
        <f>SUM(H116:I116)</f>
        <v>6.25</v>
      </c>
      <c r="K116" s="9">
        <f>J116-F116</f>
        <v>0.75</v>
      </c>
      <c r="L116" s="8">
        <f>IF(F116="","NEW",K116/F116)</f>
        <v>0.13636363636363635</v>
      </c>
      <c r="N116" s="338"/>
    </row>
    <row r="117" spans="1:14" x14ac:dyDescent="0.35">
      <c r="A117" s="470"/>
      <c r="B117" s="474"/>
      <c r="C117" s="16"/>
      <c r="D117" s="15"/>
      <c r="E117" s="15"/>
      <c r="F117" s="15"/>
      <c r="G117" s="15"/>
      <c r="H117" s="15"/>
      <c r="I117" s="15"/>
      <c r="J117" s="15"/>
      <c r="K117" s="9"/>
      <c r="L117" s="8"/>
    </row>
    <row r="118" spans="1:14" ht="18.5" thickBot="1" x14ac:dyDescent="0.4">
      <c r="A118" s="470"/>
      <c r="B118" s="259" t="s">
        <v>1284</v>
      </c>
      <c r="C118" s="16"/>
      <c r="D118" s="15"/>
      <c r="E118" s="15"/>
      <c r="F118" s="15"/>
      <c r="G118" s="15"/>
      <c r="H118" s="15"/>
      <c r="I118" s="15"/>
      <c r="J118" s="15"/>
      <c r="K118" s="9"/>
      <c r="L118" s="8"/>
    </row>
    <row r="119" spans="1:14" ht="16" thickTop="1" x14ac:dyDescent="0.35">
      <c r="A119" s="470">
        <f>A116+1</f>
        <v>67</v>
      </c>
      <c r="B119" s="465" t="s">
        <v>1285</v>
      </c>
      <c r="C119" s="16" t="s">
        <v>12</v>
      </c>
      <c r="D119" s="15">
        <v>75</v>
      </c>
      <c r="E119" s="15">
        <f t="shared" ref="E119:E122" si="17">ROUND(D119*0.2,2)</f>
        <v>15</v>
      </c>
      <c r="F119" s="15">
        <f>SUM(D119:E119)</f>
        <v>90</v>
      </c>
      <c r="G119" s="15"/>
      <c r="H119" s="15">
        <v>75</v>
      </c>
      <c r="I119" s="15">
        <f t="shared" ref="I119:I122" si="18">ROUND(H119*0.2,2)</f>
        <v>15</v>
      </c>
      <c r="J119" s="15">
        <f>SUM(H119:I119)</f>
        <v>90</v>
      </c>
      <c r="K119" s="9">
        <f>J119-F119</f>
        <v>0</v>
      </c>
      <c r="L119" s="8">
        <f>IF(F119="","NEW",K119/F119)</f>
        <v>0</v>
      </c>
      <c r="N119" s="339"/>
    </row>
    <row r="120" spans="1:14" x14ac:dyDescent="0.35">
      <c r="A120" s="470">
        <f>1+A119</f>
        <v>68</v>
      </c>
      <c r="B120" s="465" t="s">
        <v>1286</v>
      </c>
      <c r="C120" s="16" t="s">
        <v>12</v>
      </c>
      <c r="D120" s="15">
        <v>75</v>
      </c>
      <c r="E120" s="15">
        <f t="shared" si="17"/>
        <v>15</v>
      </c>
      <c r="F120" s="15">
        <f>SUM(D120:E120)</f>
        <v>90</v>
      </c>
      <c r="G120" s="15"/>
      <c r="H120" s="15">
        <v>75</v>
      </c>
      <c r="I120" s="15">
        <f t="shared" si="18"/>
        <v>15</v>
      </c>
      <c r="J120" s="15">
        <f>SUM(H120:I120)</f>
        <v>90</v>
      </c>
      <c r="K120" s="9">
        <f>J120-F120</f>
        <v>0</v>
      </c>
      <c r="L120" s="8">
        <f>IF(F120="","NEW",K120/F120)</f>
        <v>0</v>
      </c>
      <c r="N120" s="339"/>
    </row>
    <row r="121" spans="1:14" x14ac:dyDescent="0.35">
      <c r="A121" s="470">
        <f>1+A120</f>
        <v>69</v>
      </c>
      <c r="B121" s="474" t="s">
        <v>1287</v>
      </c>
      <c r="C121" s="16" t="s">
        <v>12</v>
      </c>
      <c r="D121" s="15">
        <v>150</v>
      </c>
      <c r="E121" s="15">
        <f t="shared" si="17"/>
        <v>30</v>
      </c>
      <c r="F121" s="15">
        <f>SUM(D121:E121)</f>
        <v>180</v>
      </c>
      <c r="G121" s="15"/>
      <c r="H121" s="15">
        <v>150</v>
      </c>
      <c r="I121" s="15">
        <f t="shared" si="18"/>
        <v>30</v>
      </c>
      <c r="J121" s="15">
        <f>SUM(H121:I121)</f>
        <v>180</v>
      </c>
      <c r="K121" s="9">
        <f>J121-F121</f>
        <v>0</v>
      </c>
      <c r="L121" s="8">
        <f>IF(F121="","NEW",K121/F121)</f>
        <v>0</v>
      </c>
      <c r="N121" s="339"/>
    </row>
    <row r="122" spans="1:14" x14ac:dyDescent="0.35">
      <c r="A122" s="470">
        <f>1+A121</f>
        <v>70</v>
      </c>
      <c r="B122" s="474" t="s">
        <v>1288</v>
      </c>
      <c r="C122" s="16" t="s">
        <v>12</v>
      </c>
      <c r="D122" s="15">
        <v>150</v>
      </c>
      <c r="E122" s="15">
        <f t="shared" si="17"/>
        <v>30</v>
      </c>
      <c r="F122" s="15">
        <f>SUM(D122:E122)</f>
        <v>180</v>
      </c>
      <c r="G122" s="15"/>
      <c r="H122" s="15">
        <v>150</v>
      </c>
      <c r="I122" s="15">
        <f t="shared" si="18"/>
        <v>30</v>
      </c>
      <c r="J122" s="15">
        <f>SUM(H122:I122)</f>
        <v>180</v>
      </c>
      <c r="K122" s="9">
        <f>J122-F122</f>
        <v>0</v>
      </c>
      <c r="L122" s="8">
        <f>IF(F122="","NEW",K122/F122)</f>
        <v>0</v>
      </c>
      <c r="N122" s="339"/>
    </row>
  </sheetData>
  <mergeCells count="6">
    <mergeCell ref="D115:J115"/>
    <mergeCell ref="A1:B1"/>
    <mergeCell ref="K1:L1"/>
    <mergeCell ref="D4:F4"/>
    <mergeCell ref="H4:J4"/>
    <mergeCell ref="D114:J114"/>
  </mergeCells>
  <conditionalFormatting sqref="L5:L122">
    <cfRule type="cellIs" dxfId="7" priority="5" operator="equal">
      <formula>"NEW"</formula>
    </cfRule>
  </conditionalFormatting>
  <dataValidations count="1">
    <dataValidation type="list" allowBlank="1" showInputMessage="1" showErrorMessage="1" sqref="C4:C116 C119:C122" xr:uid="{3E293CC6-3DAC-4F1B-B9F8-F2268EA4F19D}">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2" fitToHeight="0" orientation="landscape" r:id="rId1"/>
  <headerFooter alignWithMargins="0">
    <oddHeader>&amp;L&amp;"Arial,Bold"&amp;16&amp;A&amp;C&amp;"Arial,Bold"&amp;16FEES AND CHARGES 2024/25</oddHeader>
    <oddFooter>&amp;L&amp;"Arial,Bold"&amp;16&amp;A&amp;C&amp;"Arial,Bold"&amp;16&amp;P</oddFooter>
  </headerFooter>
  <rowBreaks count="2" manualBreakCount="2">
    <brk id="46" max="11" man="1"/>
    <brk id="86" max="1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80E5-CFD6-4A0D-89E3-7FA491EF54F3}">
  <dimension ref="A1:L140"/>
  <sheetViews>
    <sheetView zoomScaleNormal="100" zoomScaleSheetLayoutView="70" workbookViewId="0">
      <selection sqref="A1:B1"/>
    </sheetView>
  </sheetViews>
  <sheetFormatPr defaultColWidth="9" defaultRowHeight="20.25" customHeight="1" x14ac:dyDescent="0.35"/>
  <cols>
    <col min="1" max="1" width="7.81640625" style="57" bestFit="1" customWidth="1"/>
    <col min="2" max="2" width="80.7265625" style="47" customWidth="1"/>
    <col min="3" max="3" width="24.453125" style="106" customWidth="1"/>
    <col min="4" max="4" width="15.81640625" style="52" customWidth="1"/>
    <col min="5" max="5" width="10.54296875" style="52" customWidth="1"/>
    <col min="6" max="6" width="16.26953125" style="52" customWidth="1"/>
    <col min="7" max="7" width="3.453125" style="52" customWidth="1"/>
    <col min="8" max="8" width="16.26953125" style="52" customWidth="1"/>
    <col min="9" max="9" width="10.54296875" style="52" customWidth="1"/>
    <col min="10" max="10" width="16.26953125" style="52" customWidth="1"/>
    <col min="11" max="11" width="12.26953125" style="49" customWidth="1"/>
    <col min="12" max="12" width="11.54296875" style="50" customWidth="1"/>
    <col min="13" max="16384" width="9" style="36"/>
  </cols>
  <sheetData>
    <row r="1" spans="1:12" s="25" customFormat="1" ht="76.5" thickBot="1" x14ac:dyDescent="0.45">
      <c r="A1" s="520" t="s">
        <v>1</v>
      </c>
      <c r="B1" s="520"/>
      <c r="C1" s="26" t="s">
        <v>2</v>
      </c>
      <c r="D1" s="26" t="s">
        <v>3</v>
      </c>
      <c r="E1" s="26" t="s">
        <v>4</v>
      </c>
      <c r="F1" s="26" t="s">
        <v>5</v>
      </c>
      <c r="G1" s="26"/>
      <c r="H1" s="26" t="s">
        <v>6</v>
      </c>
      <c r="I1" s="26" t="s">
        <v>4</v>
      </c>
      <c r="J1" s="26" t="s">
        <v>7</v>
      </c>
      <c r="K1" s="522" t="s">
        <v>8</v>
      </c>
      <c r="L1" s="522"/>
    </row>
    <row r="2" spans="1:12" s="61" customFormat="1" ht="16" thickTop="1" x14ac:dyDescent="0.35">
      <c r="A2" s="59"/>
      <c r="B2" s="100"/>
      <c r="C2" s="12"/>
      <c r="D2" s="33" t="s">
        <v>9</v>
      </c>
      <c r="E2" s="33" t="s">
        <v>9</v>
      </c>
      <c r="F2" s="33" t="s">
        <v>9</v>
      </c>
      <c r="G2" s="34"/>
      <c r="H2" s="33" t="s">
        <v>9</v>
      </c>
      <c r="I2" s="33" t="s">
        <v>9</v>
      </c>
      <c r="J2" s="33" t="s">
        <v>9</v>
      </c>
      <c r="K2" s="21" t="s">
        <v>9</v>
      </c>
      <c r="L2" s="20" t="s">
        <v>10</v>
      </c>
    </row>
    <row r="3" spans="1:12" ht="15.5" x14ac:dyDescent="0.35">
      <c r="A3" s="101"/>
      <c r="B3" s="102"/>
      <c r="C3" s="12"/>
      <c r="D3" s="103"/>
      <c r="E3" s="103"/>
      <c r="F3" s="103"/>
      <c r="G3" s="103"/>
      <c r="H3" s="103"/>
      <c r="I3" s="103"/>
      <c r="J3" s="103"/>
      <c r="K3" s="33"/>
      <c r="L3" s="20"/>
    </row>
    <row r="4" spans="1:12" ht="18.5" thickBot="1" x14ac:dyDescent="0.4">
      <c r="A4" s="162"/>
      <c r="B4" s="278" t="s">
        <v>1315</v>
      </c>
      <c r="C4" s="12"/>
      <c r="D4" s="103"/>
      <c r="E4" s="103"/>
      <c r="F4" s="103"/>
      <c r="G4" s="103"/>
      <c r="H4" s="103"/>
      <c r="I4" s="103"/>
      <c r="J4" s="103"/>
      <c r="K4" s="40"/>
      <c r="L4" s="8"/>
    </row>
    <row r="5" spans="1:12" ht="62.5" thickTop="1" x14ac:dyDescent="0.35">
      <c r="A5" s="37">
        <v>1</v>
      </c>
      <c r="B5" s="509" t="s">
        <v>1316</v>
      </c>
      <c r="C5" s="12" t="s">
        <v>12</v>
      </c>
      <c r="D5" s="103">
        <v>98</v>
      </c>
      <c r="E5" s="103"/>
      <c r="F5" s="103">
        <f t="shared" ref="F5:F13" si="0">D5+E5</f>
        <v>98</v>
      </c>
      <c r="G5" s="103"/>
      <c r="H5" s="103">
        <f>MROUND((D5*(1+Sheet1!$C$3)),0.1)+4.3</f>
        <v>105</v>
      </c>
      <c r="I5" s="103"/>
      <c r="J5" s="103">
        <f t="shared" ref="J5:J13" si="1">H5+I5</f>
        <v>105</v>
      </c>
      <c r="K5" s="191">
        <f t="shared" ref="K5:K13" si="2">J5-F5</f>
        <v>7</v>
      </c>
      <c r="L5" s="141">
        <f>IF(F5="","NEW",K5/F5)</f>
        <v>7.1428571428571425E-2</v>
      </c>
    </row>
    <row r="6" spans="1:12" ht="33" customHeight="1" x14ac:dyDescent="0.35">
      <c r="A6" s="37">
        <f t="shared" ref="A6:A13" si="3">+A5+1</f>
        <v>2</v>
      </c>
      <c r="B6" s="509" t="s">
        <v>1317</v>
      </c>
      <c r="C6" s="12" t="s">
        <v>12</v>
      </c>
      <c r="D6" s="103">
        <v>106.67</v>
      </c>
      <c r="E6" s="103">
        <f>ROUND(D6*0.2,2)</f>
        <v>21.33</v>
      </c>
      <c r="F6" s="103">
        <f t="shared" si="0"/>
        <v>128</v>
      </c>
      <c r="G6" s="103"/>
      <c r="H6" s="103">
        <f>MROUND((D6*(1+Sheet1!$C$3)),0.1)+2.9</f>
        <v>112.50000000000001</v>
      </c>
      <c r="I6" s="103">
        <f>ROUND(H6*0.2,2)</f>
        <v>22.5</v>
      </c>
      <c r="J6" s="103">
        <f t="shared" si="1"/>
        <v>135</v>
      </c>
      <c r="K6" s="191">
        <f t="shared" si="2"/>
        <v>7</v>
      </c>
      <c r="L6" s="141">
        <f t="shared" ref="L6:L13" si="4">IF(F6="","NEW",K6/F6)</f>
        <v>5.46875E-2</v>
      </c>
    </row>
    <row r="7" spans="1:12" ht="33" customHeight="1" x14ac:dyDescent="0.35">
      <c r="A7" s="37">
        <f t="shared" si="3"/>
        <v>3</v>
      </c>
      <c r="B7" s="509" t="s">
        <v>1318</v>
      </c>
      <c r="C7" s="12" t="s">
        <v>12</v>
      </c>
      <c r="D7" s="103">
        <v>205</v>
      </c>
      <c r="E7" s="103">
        <f>ROUND(D7*0.2,2)</f>
        <v>41</v>
      </c>
      <c r="F7" s="103">
        <f t="shared" ref="F7" si="5">D7+E7</f>
        <v>246</v>
      </c>
      <c r="G7" s="103"/>
      <c r="H7" s="103">
        <f>MROUND((D7*(1+Sheet1!$C$3)),0.1)+1.9</f>
        <v>212.50000000000003</v>
      </c>
      <c r="I7" s="103">
        <f>ROUND(H7*0.2,2)</f>
        <v>42.5</v>
      </c>
      <c r="J7" s="103">
        <f t="shared" ref="J7" si="6">H7+I7</f>
        <v>255.00000000000003</v>
      </c>
      <c r="K7" s="191">
        <f t="shared" ref="K7" si="7">J7-F7</f>
        <v>9.0000000000000284</v>
      </c>
      <c r="L7" s="141">
        <f t="shared" ref="L7" si="8">IF(F7="","NEW",K7/F7)</f>
        <v>3.6585365853658652E-2</v>
      </c>
    </row>
    <row r="8" spans="1:12" ht="15.5" x14ac:dyDescent="0.35">
      <c r="A8" s="37">
        <f t="shared" si="3"/>
        <v>4</v>
      </c>
      <c r="B8" s="509" t="s">
        <v>1319</v>
      </c>
      <c r="C8" s="12" t="s">
        <v>12</v>
      </c>
      <c r="D8" s="103">
        <v>30.5</v>
      </c>
      <c r="E8" s="103"/>
      <c r="F8" s="103">
        <f t="shared" si="0"/>
        <v>30.5</v>
      </c>
      <c r="G8" s="103"/>
      <c r="H8" s="103">
        <f>MROUND((D8*(1+Sheet1!$C$3)),0.1)+3.7</f>
        <v>35</v>
      </c>
      <c r="I8" s="103"/>
      <c r="J8" s="103">
        <f t="shared" si="1"/>
        <v>35</v>
      </c>
      <c r="K8" s="41">
        <f t="shared" si="2"/>
        <v>4.5</v>
      </c>
      <c r="L8" s="8">
        <f t="shared" si="4"/>
        <v>0.14754098360655737</v>
      </c>
    </row>
    <row r="9" spans="1:12" ht="15.5" x14ac:dyDescent="0.35">
      <c r="A9" s="37">
        <f t="shared" si="3"/>
        <v>5</v>
      </c>
      <c r="B9" s="509" t="s">
        <v>1320</v>
      </c>
      <c r="C9" s="12" t="s">
        <v>12</v>
      </c>
      <c r="D9" s="103">
        <v>48</v>
      </c>
      <c r="E9" s="103"/>
      <c r="F9" s="103">
        <f t="shared" si="0"/>
        <v>48</v>
      </c>
      <c r="G9" s="103"/>
      <c r="H9" s="103">
        <f>MROUND((D9*(1+Sheet1!$C$3)),0.1)+0.7</f>
        <v>50.000000000000007</v>
      </c>
      <c r="I9" s="103"/>
      <c r="J9" s="103">
        <f t="shared" si="1"/>
        <v>50.000000000000007</v>
      </c>
      <c r="K9" s="41">
        <f t="shared" si="2"/>
        <v>2.0000000000000071</v>
      </c>
      <c r="L9" s="8">
        <f t="shared" si="4"/>
        <v>4.1666666666666817E-2</v>
      </c>
    </row>
    <row r="10" spans="1:12" ht="15.5" x14ac:dyDescent="0.35">
      <c r="A10" s="37">
        <f t="shared" si="3"/>
        <v>6</v>
      </c>
      <c r="B10" s="509" t="s">
        <v>1321</v>
      </c>
      <c r="C10" s="12" t="s">
        <v>12</v>
      </c>
      <c r="D10" s="103">
        <v>98</v>
      </c>
      <c r="E10" s="103"/>
      <c r="F10" s="103">
        <f t="shared" si="0"/>
        <v>98</v>
      </c>
      <c r="G10" s="103"/>
      <c r="H10" s="103">
        <f>MROUND((D10*(1+Sheet1!$C$3)),0.1)-0.7</f>
        <v>100</v>
      </c>
      <c r="I10" s="103"/>
      <c r="J10" s="103">
        <f t="shared" si="1"/>
        <v>100</v>
      </c>
      <c r="K10" s="41">
        <f t="shared" si="2"/>
        <v>2</v>
      </c>
      <c r="L10" s="8">
        <f t="shared" si="4"/>
        <v>2.0408163265306121E-2</v>
      </c>
    </row>
    <row r="11" spans="1:12" ht="15.5" x14ac:dyDescent="0.35">
      <c r="A11" s="37">
        <f t="shared" si="3"/>
        <v>7</v>
      </c>
      <c r="B11" s="509" t="s">
        <v>1322</v>
      </c>
      <c r="C11" s="12" t="s">
        <v>191</v>
      </c>
      <c r="D11" s="103">
        <v>107</v>
      </c>
      <c r="E11" s="103"/>
      <c r="F11" s="103">
        <f t="shared" si="0"/>
        <v>107</v>
      </c>
      <c r="G11" s="103"/>
      <c r="H11" s="103">
        <f>MROUND((D11*(1+Sheet1!$C$3)),0.1)+0.1</f>
        <v>110</v>
      </c>
      <c r="I11" s="103"/>
      <c r="J11" s="103">
        <f t="shared" si="1"/>
        <v>110</v>
      </c>
      <c r="K11" s="41">
        <f t="shared" si="2"/>
        <v>3</v>
      </c>
      <c r="L11" s="8">
        <f t="shared" si="4"/>
        <v>2.8037383177570093E-2</v>
      </c>
    </row>
    <row r="12" spans="1:12" ht="15.5" x14ac:dyDescent="0.35">
      <c r="A12" s="37">
        <f t="shared" si="3"/>
        <v>8</v>
      </c>
      <c r="B12" s="86" t="s">
        <v>1323</v>
      </c>
      <c r="C12" s="12" t="s">
        <v>191</v>
      </c>
      <c r="D12" s="103">
        <v>276</v>
      </c>
      <c r="E12" s="251"/>
      <c r="F12" s="103">
        <f t="shared" si="0"/>
        <v>276</v>
      </c>
      <c r="G12" s="103"/>
      <c r="H12" s="103">
        <f>MROUND((D12*(1+Sheet1!$C$3)),0.1)+1.4</f>
        <v>285</v>
      </c>
      <c r="I12" s="251"/>
      <c r="J12" s="103">
        <f t="shared" si="1"/>
        <v>285</v>
      </c>
      <c r="K12" s="41">
        <f t="shared" si="2"/>
        <v>9</v>
      </c>
      <c r="L12" s="8">
        <f t="shared" si="4"/>
        <v>3.2608695652173912E-2</v>
      </c>
    </row>
    <row r="13" spans="1:12" ht="15.5" x14ac:dyDescent="0.35">
      <c r="A13" s="37">
        <f t="shared" si="3"/>
        <v>9</v>
      </c>
      <c r="B13" s="86" t="s">
        <v>1324</v>
      </c>
      <c r="C13" s="12" t="s">
        <v>191</v>
      </c>
      <c r="D13" s="103">
        <v>14</v>
      </c>
      <c r="E13" s="251"/>
      <c r="F13" s="103">
        <f t="shared" si="0"/>
        <v>14</v>
      </c>
      <c r="G13" s="103"/>
      <c r="H13" s="103">
        <f>MROUND((D13*(1+Sheet1!$C$3)),0.1)+0.6</f>
        <v>15</v>
      </c>
      <c r="I13" s="251"/>
      <c r="J13" s="103">
        <f t="shared" si="1"/>
        <v>15</v>
      </c>
      <c r="K13" s="41">
        <f t="shared" si="2"/>
        <v>1</v>
      </c>
      <c r="L13" s="8">
        <f t="shared" si="4"/>
        <v>7.1428571428571425E-2</v>
      </c>
    </row>
    <row r="14" spans="1:12" ht="15.5" x14ac:dyDescent="0.35">
      <c r="A14" s="37"/>
      <c r="B14" s="86"/>
      <c r="C14" s="12"/>
      <c r="D14" s="103"/>
      <c r="E14" s="251"/>
      <c r="F14" s="103"/>
      <c r="G14" s="103"/>
      <c r="H14" s="103"/>
      <c r="I14" s="251"/>
      <c r="J14" s="103"/>
      <c r="K14" s="41"/>
      <c r="L14" s="8"/>
    </row>
    <row r="15" spans="1:12" ht="18.5" thickBot="1" x14ac:dyDescent="0.4">
      <c r="A15" s="37"/>
      <c r="B15" s="278" t="s">
        <v>1325</v>
      </c>
      <c r="C15" s="12"/>
      <c r="D15" s="103"/>
      <c r="E15" s="103"/>
      <c r="F15" s="103"/>
      <c r="G15" s="103"/>
      <c r="H15" s="103"/>
      <c r="I15" s="103"/>
      <c r="J15" s="103"/>
      <c r="K15" s="41"/>
      <c r="L15" s="8"/>
    </row>
    <row r="16" spans="1:12" ht="45.75" customHeight="1" thickTop="1" thickBot="1" x14ac:dyDescent="0.4">
      <c r="A16" s="37">
        <f>A13+1</f>
        <v>10</v>
      </c>
      <c r="B16" s="288" t="s">
        <v>1326</v>
      </c>
      <c r="C16" s="12"/>
      <c r="D16" s="733" t="s">
        <v>1327</v>
      </c>
      <c r="E16" s="734"/>
      <c r="F16" s="734"/>
      <c r="G16" s="734"/>
      <c r="H16" s="734"/>
      <c r="I16" s="734"/>
      <c r="J16" s="735"/>
      <c r="K16" s="41"/>
      <c r="L16" s="8"/>
    </row>
    <row r="17" spans="1:12" ht="15.5" x14ac:dyDescent="0.35">
      <c r="A17" s="37">
        <f>A16+1</f>
        <v>11</v>
      </c>
      <c r="B17" s="165" t="s">
        <v>1328</v>
      </c>
      <c r="C17" s="12" t="s">
        <v>12</v>
      </c>
      <c r="D17" s="103">
        <v>106.67</v>
      </c>
      <c r="E17" s="103">
        <f>ROUND(D17*0.2,2)</f>
        <v>21.33</v>
      </c>
      <c r="F17" s="103">
        <f>D17+E17</f>
        <v>128</v>
      </c>
      <c r="G17" s="103"/>
      <c r="H17" s="103">
        <f>MROUND((D17*(1+Sheet1!$C$3)),0.1)+2.9</f>
        <v>112.50000000000001</v>
      </c>
      <c r="I17" s="103">
        <f>ROUND(H17*0.2,2)</f>
        <v>22.5</v>
      </c>
      <c r="J17" s="103">
        <f>H17+I17</f>
        <v>135</v>
      </c>
      <c r="K17" s="41">
        <f>J17-F17</f>
        <v>7</v>
      </c>
      <c r="L17" s="8">
        <f>IF(F17="","NEW",K17/F17)</f>
        <v>5.46875E-2</v>
      </c>
    </row>
    <row r="18" spans="1:12" ht="15.5" x14ac:dyDescent="0.35">
      <c r="A18" s="37">
        <f>A17+1</f>
        <v>12</v>
      </c>
      <c r="B18" s="165" t="s">
        <v>1329</v>
      </c>
      <c r="C18" s="12" t="s">
        <v>12</v>
      </c>
      <c r="D18" s="103">
        <v>172.5</v>
      </c>
      <c r="E18" s="103"/>
      <c r="F18" s="103">
        <f>D18+E18</f>
        <v>172.5</v>
      </c>
      <c r="G18" s="103"/>
      <c r="H18" s="103">
        <f>MROUND((D18*(1+Sheet1!$C$3)),0.1)+2.8</f>
        <v>180.00000000000003</v>
      </c>
      <c r="I18" s="103"/>
      <c r="J18" s="103">
        <f>H18+I18</f>
        <v>180.00000000000003</v>
      </c>
      <c r="K18" s="41">
        <f>J18-F18</f>
        <v>7.5000000000000284</v>
      </c>
      <c r="L18" s="8">
        <f>IF(F18="","NEW",K18/F18)</f>
        <v>4.3478260869565383E-2</v>
      </c>
    </row>
    <row r="19" spans="1:12" ht="15.5" x14ac:dyDescent="0.35">
      <c r="A19" s="37">
        <f>A18+1</f>
        <v>13</v>
      </c>
      <c r="B19" s="86" t="s">
        <v>1330</v>
      </c>
      <c r="C19" s="12" t="s">
        <v>12</v>
      </c>
      <c r="D19" s="103">
        <v>172.5</v>
      </c>
      <c r="E19" s="103"/>
      <c r="F19" s="103">
        <f>D19+E19</f>
        <v>172.5</v>
      </c>
      <c r="G19" s="103"/>
      <c r="H19" s="103">
        <f>MROUND((D19*(1+Sheet1!$C$3)),0.1)+2.8</f>
        <v>180.00000000000003</v>
      </c>
      <c r="I19" s="103"/>
      <c r="J19" s="103">
        <f>H19+I19</f>
        <v>180.00000000000003</v>
      </c>
      <c r="K19" s="41">
        <f>J19-F19</f>
        <v>7.5000000000000284</v>
      </c>
      <c r="L19" s="8">
        <f>IF(F19="","NEW",K19/F19)</f>
        <v>4.3478260869565383E-2</v>
      </c>
    </row>
    <row r="20" spans="1:12" ht="15.5" x14ac:dyDescent="0.35">
      <c r="A20" s="37">
        <f>A19+1</f>
        <v>14</v>
      </c>
      <c r="B20" s="86" t="s">
        <v>1510</v>
      </c>
      <c r="C20" s="12" t="s">
        <v>191</v>
      </c>
      <c r="D20" s="103"/>
      <c r="E20" s="103"/>
      <c r="F20" s="103"/>
      <c r="G20" s="103"/>
      <c r="H20" s="627" t="s">
        <v>1511</v>
      </c>
      <c r="I20" s="628"/>
      <c r="J20" s="629"/>
      <c r="K20" s="41"/>
      <c r="L20" s="8" t="str">
        <f>IF(F20="","NEW",K20/F20)</f>
        <v>NEW</v>
      </c>
    </row>
    <row r="21" spans="1:12" ht="15.5" x14ac:dyDescent="0.35">
      <c r="A21" s="37"/>
      <c r="B21" s="86"/>
      <c r="C21" s="12"/>
      <c r="D21" s="103"/>
      <c r="E21" s="103"/>
      <c r="F21" s="103"/>
      <c r="G21" s="103"/>
      <c r="H21" s="103"/>
      <c r="I21" s="103"/>
      <c r="J21" s="103"/>
      <c r="K21" s="41"/>
      <c r="L21" s="8"/>
    </row>
    <row r="22" spans="1:12" ht="18.5" thickBot="1" x14ac:dyDescent="0.4">
      <c r="A22" s="37"/>
      <c r="B22" s="269" t="s">
        <v>1331</v>
      </c>
      <c r="C22" s="12"/>
      <c r="D22" s="103"/>
      <c r="E22" s="103"/>
      <c r="F22" s="103"/>
      <c r="G22" s="103"/>
      <c r="H22" s="103"/>
      <c r="I22" s="103"/>
      <c r="J22" s="103"/>
      <c r="K22" s="41"/>
      <c r="L22" s="8"/>
    </row>
    <row r="23" spans="1:12" ht="31.5" thickTop="1" x14ac:dyDescent="0.35">
      <c r="A23" s="37">
        <f>A20+1</f>
        <v>15</v>
      </c>
      <c r="B23" s="139" t="s">
        <v>1332</v>
      </c>
      <c r="C23" s="16" t="s">
        <v>191</v>
      </c>
      <c r="D23" s="40">
        <v>99</v>
      </c>
      <c r="E23" s="40"/>
      <c r="F23" s="40">
        <f>D23+E23</f>
        <v>99</v>
      </c>
      <c r="G23" s="40"/>
      <c r="H23" s="40">
        <v>99</v>
      </c>
      <c r="I23" s="40"/>
      <c r="J23" s="40">
        <f>H23+I23</f>
        <v>99</v>
      </c>
      <c r="K23" s="41">
        <f>J23-F23</f>
        <v>0</v>
      </c>
      <c r="L23" s="8">
        <f>IF(F23="","NEW",K23/F23)</f>
        <v>0</v>
      </c>
    </row>
    <row r="24" spans="1:12" ht="15.5" x14ac:dyDescent="0.35">
      <c r="A24" s="37">
        <f>A23+1</f>
        <v>16</v>
      </c>
      <c r="B24" s="165" t="s">
        <v>1333</v>
      </c>
      <c r="C24" s="12" t="s">
        <v>191</v>
      </c>
      <c r="D24" s="103">
        <v>23</v>
      </c>
      <c r="E24" s="103"/>
      <c r="F24" s="103">
        <f>D24+E24</f>
        <v>23</v>
      </c>
      <c r="G24" s="103"/>
      <c r="H24" s="103">
        <v>25</v>
      </c>
      <c r="I24" s="103"/>
      <c r="J24" s="103">
        <f>H24+I24</f>
        <v>25</v>
      </c>
      <c r="K24" s="41">
        <f>J24-F24</f>
        <v>2</v>
      </c>
      <c r="L24" s="8">
        <f>IF(F24="","NEW",K24/F24)</f>
        <v>8.6956521739130432E-2</v>
      </c>
    </row>
    <row r="25" spans="1:12" ht="15.5" x14ac:dyDescent="0.35">
      <c r="A25" s="37">
        <f>A24+1</f>
        <v>17</v>
      </c>
      <c r="B25" s="165" t="s">
        <v>1334</v>
      </c>
      <c r="C25" s="12" t="s">
        <v>191</v>
      </c>
      <c r="D25" s="103">
        <v>26</v>
      </c>
      <c r="E25" s="103"/>
      <c r="F25" s="103">
        <f>D25+E25</f>
        <v>26</v>
      </c>
      <c r="G25" s="103"/>
      <c r="H25" s="103">
        <v>26</v>
      </c>
      <c r="I25" s="103"/>
      <c r="J25" s="103">
        <f>H25+I25</f>
        <v>26</v>
      </c>
      <c r="K25" s="41">
        <f>J25-F25</f>
        <v>0</v>
      </c>
      <c r="L25" s="8">
        <f>IF(F25="","NEW",K25/F25)</f>
        <v>0</v>
      </c>
    </row>
    <row r="26" spans="1:12" ht="15.5" x14ac:dyDescent="0.35">
      <c r="A26" s="37"/>
      <c r="B26" s="86"/>
      <c r="C26" s="12"/>
      <c r="D26" s="103"/>
      <c r="E26" s="103"/>
      <c r="F26" s="103"/>
      <c r="G26" s="103"/>
      <c r="H26" s="103"/>
      <c r="I26" s="103"/>
      <c r="J26" s="103"/>
      <c r="K26" s="41"/>
      <c r="L26" s="8"/>
    </row>
    <row r="27" spans="1:12" ht="18.5" thickBot="1" x14ac:dyDescent="0.4">
      <c r="A27" s="37"/>
      <c r="B27" s="269" t="s">
        <v>1335</v>
      </c>
      <c r="C27" s="12"/>
      <c r="D27" s="103"/>
      <c r="E27" s="103"/>
      <c r="F27" s="103"/>
      <c r="G27" s="103"/>
      <c r="H27" s="103"/>
      <c r="I27" s="103"/>
      <c r="J27" s="103"/>
      <c r="K27" s="41"/>
      <c r="L27" s="8"/>
    </row>
    <row r="28" spans="1:12" ht="16" thickTop="1" x14ac:dyDescent="0.35">
      <c r="A28" s="37">
        <f>A25+1</f>
        <v>18</v>
      </c>
      <c r="B28" s="165" t="s">
        <v>1512</v>
      </c>
      <c r="C28" s="12" t="s">
        <v>12</v>
      </c>
      <c r="D28" s="103">
        <v>106.67</v>
      </c>
      <c r="E28" s="103">
        <f>ROUND(D28*0.2,2)</f>
        <v>21.33</v>
      </c>
      <c r="F28" s="103">
        <f>D28+E28</f>
        <v>128</v>
      </c>
      <c r="G28" s="103"/>
      <c r="H28" s="103">
        <f>MROUND((D28*(1+Sheet1!$C$3)),0.1)+2.9</f>
        <v>112.50000000000001</v>
      </c>
      <c r="I28" s="103">
        <f>ROUND(H28*0.2,2)</f>
        <v>22.5</v>
      </c>
      <c r="J28" s="103">
        <f>H28+I28</f>
        <v>135</v>
      </c>
      <c r="K28" s="41">
        <f>J28-F28</f>
        <v>7</v>
      </c>
      <c r="L28" s="8">
        <f>IF(F28="","NEW",K28/F28)</f>
        <v>5.46875E-2</v>
      </c>
    </row>
    <row r="29" spans="1:12" ht="15.5" x14ac:dyDescent="0.35">
      <c r="A29" s="37">
        <f>A28+1</f>
        <v>19</v>
      </c>
      <c r="B29" s="165" t="s">
        <v>1513</v>
      </c>
      <c r="C29" s="12" t="s">
        <v>12</v>
      </c>
      <c r="D29" s="103"/>
      <c r="E29" s="103"/>
      <c r="F29" s="103"/>
      <c r="G29" s="103"/>
      <c r="H29" s="103">
        <v>112.5</v>
      </c>
      <c r="I29" s="103">
        <f>ROUND(H29*0.2,2)</f>
        <v>22.5</v>
      </c>
      <c r="J29" s="103">
        <f>H29+I29</f>
        <v>135</v>
      </c>
      <c r="K29" s="41"/>
      <c r="L29" s="8" t="str">
        <f>IF(F29="","NEW",K29/F29)</f>
        <v>NEW</v>
      </c>
    </row>
    <row r="30" spans="1:12" ht="15.5" x14ac:dyDescent="0.35">
      <c r="A30" s="37"/>
      <c r="B30" s="86"/>
      <c r="C30" s="12"/>
      <c r="D30" s="103"/>
      <c r="E30" s="103"/>
      <c r="F30" s="103"/>
      <c r="G30" s="103"/>
      <c r="H30" s="103"/>
      <c r="I30" s="103"/>
      <c r="J30" s="103"/>
      <c r="K30" s="41"/>
      <c r="L30" s="8"/>
    </row>
    <row r="31" spans="1:12" ht="18.5" thickBot="1" x14ac:dyDescent="0.45">
      <c r="A31" s="37"/>
      <c r="B31" s="284" t="s">
        <v>1336</v>
      </c>
      <c r="C31" s="12"/>
      <c r="D31" s="103"/>
      <c r="E31" s="103"/>
      <c r="F31" s="103"/>
      <c r="G31" s="103"/>
      <c r="H31" s="627" t="s">
        <v>1337</v>
      </c>
      <c r="I31" s="628"/>
      <c r="J31" s="628"/>
      <c r="K31" s="628"/>
      <c r="L31" s="629"/>
    </row>
    <row r="32" spans="1:12" ht="16" thickTop="1" x14ac:dyDescent="0.35">
      <c r="A32" s="37">
        <f>A28+1</f>
        <v>19</v>
      </c>
      <c r="B32" s="132" t="s">
        <v>1338</v>
      </c>
      <c r="C32" s="12" t="s">
        <v>19</v>
      </c>
      <c r="D32" s="40">
        <v>48</v>
      </c>
      <c r="E32" s="103"/>
      <c r="F32" s="103">
        <f>D32+E32</f>
        <v>48</v>
      </c>
      <c r="G32" s="103"/>
      <c r="H32" s="40">
        <f>D32</f>
        <v>48</v>
      </c>
      <c r="I32" s="103"/>
      <c r="J32" s="252">
        <f>H32+I32</f>
        <v>48</v>
      </c>
      <c r="K32" s="253">
        <f>J32-F32</f>
        <v>0</v>
      </c>
      <c r="L32" s="254">
        <f>IF(F32="","NEW",K32/F32)</f>
        <v>0</v>
      </c>
    </row>
    <row r="33" spans="1:12" ht="31" x14ac:dyDescent="0.35">
      <c r="A33" s="37">
        <f>+A32+1</f>
        <v>20</v>
      </c>
      <c r="B33" s="132" t="s">
        <v>1339</v>
      </c>
      <c r="C33" s="16" t="s">
        <v>19</v>
      </c>
      <c r="D33" s="40">
        <v>65</v>
      </c>
      <c r="E33" s="40"/>
      <c r="F33" s="40">
        <f>D33+E33</f>
        <v>65</v>
      </c>
      <c r="G33" s="40"/>
      <c r="H33" s="40">
        <f>D33</f>
        <v>65</v>
      </c>
      <c r="I33" s="40"/>
      <c r="J33" s="510">
        <f>H33+I33</f>
        <v>65</v>
      </c>
      <c r="K33" s="253">
        <f>J33-F33</f>
        <v>0</v>
      </c>
      <c r="L33" s="254">
        <f>IF(F33="","NEW",K33/F33)</f>
        <v>0</v>
      </c>
    </row>
    <row r="34" spans="1:12" ht="15.5" x14ac:dyDescent="0.35">
      <c r="A34" s="37">
        <f>+A33+1</f>
        <v>21</v>
      </c>
      <c r="B34" s="132" t="s">
        <v>1340</v>
      </c>
      <c r="C34" s="12" t="s">
        <v>19</v>
      </c>
      <c r="D34" s="103">
        <v>137</v>
      </c>
      <c r="E34" s="103"/>
      <c r="F34" s="103">
        <f>D34+E34</f>
        <v>137</v>
      </c>
      <c r="G34" s="103"/>
      <c r="H34" s="40">
        <f>D34</f>
        <v>137</v>
      </c>
      <c r="I34" s="103"/>
      <c r="J34" s="252">
        <f>H34+I34</f>
        <v>137</v>
      </c>
      <c r="K34" s="253">
        <f>J34-F34</f>
        <v>0</v>
      </c>
      <c r="L34" s="254">
        <f>IF(F34="","NEW",K34/F34)</f>
        <v>0</v>
      </c>
    </row>
    <row r="35" spans="1:12" ht="15.5" x14ac:dyDescent="0.35">
      <c r="A35" s="37">
        <f>+A34+1</f>
        <v>22</v>
      </c>
      <c r="B35" s="132" t="s">
        <v>1341</v>
      </c>
      <c r="C35" s="12" t="s">
        <v>19</v>
      </c>
      <c r="D35" s="103">
        <v>50</v>
      </c>
      <c r="E35" s="103"/>
      <c r="F35" s="103">
        <f>D35+E35</f>
        <v>50</v>
      </c>
      <c r="G35" s="103"/>
      <c r="H35" s="103">
        <v>50</v>
      </c>
      <c r="I35" s="103"/>
      <c r="J35" s="252">
        <f>H35+I35</f>
        <v>50</v>
      </c>
      <c r="K35" s="253">
        <f>J35-F35</f>
        <v>0</v>
      </c>
      <c r="L35" s="254">
        <f>IF(F35="","NEW",K35/F35)</f>
        <v>0</v>
      </c>
    </row>
    <row r="36" spans="1:12" ht="15.5" x14ac:dyDescent="0.35">
      <c r="A36" s="37"/>
      <c r="B36" s="132"/>
      <c r="C36" s="12"/>
      <c r="D36" s="103"/>
      <c r="E36" s="103"/>
      <c r="F36" s="103"/>
      <c r="G36" s="103"/>
      <c r="H36" s="103"/>
      <c r="I36" s="103"/>
      <c r="J36" s="252"/>
      <c r="K36" s="253"/>
      <c r="L36" s="254"/>
    </row>
    <row r="37" spans="1:12" ht="18.5" thickBot="1" x14ac:dyDescent="0.45">
      <c r="A37" s="37"/>
      <c r="B37" s="272" t="s">
        <v>1342</v>
      </c>
      <c r="C37" s="12"/>
      <c r="D37" s="103"/>
      <c r="E37" s="103"/>
      <c r="F37" s="103"/>
      <c r="G37" s="103"/>
      <c r="H37" s="627" t="s">
        <v>1337</v>
      </c>
      <c r="I37" s="628"/>
      <c r="J37" s="628"/>
      <c r="K37" s="628"/>
      <c r="L37" s="629"/>
    </row>
    <row r="38" spans="1:12" ht="31.5" thickTop="1" x14ac:dyDescent="0.35">
      <c r="A38" s="37">
        <f>A35+1</f>
        <v>23</v>
      </c>
      <c r="B38" s="132" t="s">
        <v>1343</v>
      </c>
      <c r="C38" s="16" t="s">
        <v>19</v>
      </c>
      <c r="D38" s="40">
        <v>119</v>
      </c>
      <c r="E38" s="40"/>
      <c r="F38" s="40">
        <f t="shared" ref="F38:F45" si="9">D38+E38</f>
        <v>119</v>
      </c>
      <c r="G38" s="40"/>
      <c r="H38" s="40">
        <v>119</v>
      </c>
      <c r="I38" s="40"/>
      <c r="J38" s="510">
        <f t="shared" ref="J38:J45" si="10">H38+I38</f>
        <v>119</v>
      </c>
      <c r="K38" s="253">
        <f t="shared" ref="K38:K45" si="11">J38-F38</f>
        <v>0</v>
      </c>
      <c r="L38" s="254">
        <f t="shared" ref="L38:L45" si="12">IF(F38="","NEW",K38/F38)</f>
        <v>0</v>
      </c>
    </row>
    <row r="39" spans="1:12" ht="15.5" x14ac:dyDescent="0.35">
      <c r="A39" s="37">
        <f t="shared" ref="A39:A45" si="13">+A38+1</f>
        <v>24</v>
      </c>
      <c r="B39" s="132" t="s">
        <v>1344</v>
      </c>
      <c r="C39" s="12" t="s">
        <v>19</v>
      </c>
      <c r="D39" s="103">
        <v>59</v>
      </c>
      <c r="E39" s="103"/>
      <c r="F39" s="103">
        <f t="shared" si="9"/>
        <v>59</v>
      </c>
      <c r="G39" s="103"/>
      <c r="H39" s="103">
        <v>59</v>
      </c>
      <c r="I39" s="103"/>
      <c r="J39" s="252">
        <f t="shared" si="10"/>
        <v>59</v>
      </c>
      <c r="K39" s="253">
        <f t="shared" si="11"/>
        <v>0</v>
      </c>
      <c r="L39" s="254">
        <f t="shared" si="12"/>
        <v>0</v>
      </c>
    </row>
    <row r="40" spans="1:12" ht="31" x14ac:dyDescent="0.35">
      <c r="A40" s="37">
        <f t="shared" si="13"/>
        <v>25</v>
      </c>
      <c r="B40" s="132" t="s">
        <v>1345</v>
      </c>
      <c r="C40" s="16" t="s">
        <v>19</v>
      </c>
      <c r="D40" s="40">
        <v>40</v>
      </c>
      <c r="E40" s="40"/>
      <c r="F40" s="40">
        <f t="shared" si="9"/>
        <v>40</v>
      </c>
      <c r="G40" s="40"/>
      <c r="H40" s="40">
        <v>40</v>
      </c>
      <c r="I40" s="40"/>
      <c r="J40" s="510">
        <f t="shared" si="10"/>
        <v>40</v>
      </c>
      <c r="K40" s="253">
        <f t="shared" si="11"/>
        <v>0</v>
      </c>
      <c r="L40" s="254">
        <f t="shared" si="12"/>
        <v>0</v>
      </c>
    </row>
    <row r="41" spans="1:12" ht="15.5" x14ac:dyDescent="0.35">
      <c r="A41" s="37">
        <f t="shared" si="13"/>
        <v>26</v>
      </c>
      <c r="B41" s="132" t="s">
        <v>1346</v>
      </c>
      <c r="C41" s="12" t="s">
        <v>19</v>
      </c>
      <c r="D41" s="103">
        <v>40</v>
      </c>
      <c r="E41" s="103"/>
      <c r="F41" s="103">
        <f t="shared" si="9"/>
        <v>40</v>
      </c>
      <c r="G41" s="103"/>
      <c r="H41" s="103">
        <v>40</v>
      </c>
      <c r="I41" s="103"/>
      <c r="J41" s="252">
        <f t="shared" si="10"/>
        <v>40</v>
      </c>
      <c r="K41" s="253">
        <f t="shared" si="11"/>
        <v>0</v>
      </c>
      <c r="L41" s="254">
        <f t="shared" si="12"/>
        <v>0</v>
      </c>
    </row>
    <row r="42" spans="1:12" ht="15.5" x14ac:dyDescent="0.35">
      <c r="A42" s="37">
        <f t="shared" si="13"/>
        <v>27</v>
      </c>
      <c r="B42" s="132" t="s">
        <v>1347</v>
      </c>
      <c r="C42" s="12" t="s">
        <v>19</v>
      </c>
      <c r="D42" s="103">
        <v>500</v>
      </c>
      <c r="E42" s="103"/>
      <c r="F42" s="103">
        <f t="shared" si="9"/>
        <v>500</v>
      </c>
      <c r="G42" s="103"/>
      <c r="H42" s="103">
        <v>500</v>
      </c>
      <c r="I42" s="103"/>
      <c r="J42" s="252">
        <f t="shared" si="10"/>
        <v>500</v>
      </c>
      <c r="K42" s="253">
        <f t="shared" si="11"/>
        <v>0</v>
      </c>
      <c r="L42" s="254">
        <f t="shared" si="12"/>
        <v>0</v>
      </c>
    </row>
    <row r="43" spans="1:12" ht="15.5" x14ac:dyDescent="0.35">
      <c r="A43" s="37">
        <f t="shared" si="13"/>
        <v>28</v>
      </c>
      <c r="B43" s="132" t="s">
        <v>1348</v>
      </c>
      <c r="C43" s="12" t="s">
        <v>19</v>
      </c>
      <c r="D43" s="103">
        <v>40</v>
      </c>
      <c r="E43" s="103"/>
      <c r="F43" s="103">
        <f t="shared" si="9"/>
        <v>40</v>
      </c>
      <c r="G43" s="103"/>
      <c r="H43" s="103">
        <v>40</v>
      </c>
      <c r="I43" s="103"/>
      <c r="J43" s="252">
        <f t="shared" si="10"/>
        <v>40</v>
      </c>
      <c r="K43" s="253">
        <f t="shared" si="11"/>
        <v>0</v>
      </c>
      <c r="L43" s="254">
        <f t="shared" si="12"/>
        <v>0</v>
      </c>
    </row>
    <row r="44" spans="1:12" ht="15.5" x14ac:dyDescent="0.35">
      <c r="A44" s="37">
        <f t="shared" si="13"/>
        <v>29</v>
      </c>
      <c r="B44" s="132" t="s">
        <v>1349</v>
      </c>
      <c r="C44" s="12" t="s">
        <v>19</v>
      </c>
      <c r="D44" s="103">
        <v>40</v>
      </c>
      <c r="E44" s="103"/>
      <c r="F44" s="103">
        <f t="shared" si="9"/>
        <v>40</v>
      </c>
      <c r="G44" s="103"/>
      <c r="H44" s="103">
        <v>40</v>
      </c>
      <c r="I44" s="103"/>
      <c r="J44" s="252">
        <f t="shared" si="10"/>
        <v>40</v>
      </c>
      <c r="K44" s="253">
        <f t="shared" si="11"/>
        <v>0</v>
      </c>
      <c r="L44" s="254">
        <f t="shared" si="12"/>
        <v>0</v>
      </c>
    </row>
    <row r="45" spans="1:12" ht="15.5" x14ac:dyDescent="0.35">
      <c r="A45" s="37">
        <f t="shared" si="13"/>
        <v>30</v>
      </c>
      <c r="B45" s="132" t="s">
        <v>1350</v>
      </c>
      <c r="C45" s="12" t="s">
        <v>19</v>
      </c>
      <c r="D45" s="103">
        <v>40</v>
      </c>
      <c r="E45" s="103"/>
      <c r="F45" s="103">
        <f t="shared" si="9"/>
        <v>40</v>
      </c>
      <c r="G45" s="103"/>
      <c r="H45" s="103">
        <v>40</v>
      </c>
      <c r="I45" s="103"/>
      <c r="J45" s="252">
        <f t="shared" si="10"/>
        <v>40</v>
      </c>
      <c r="K45" s="253">
        <f t="shared" si="11"/>
        <v>0</v>
      </c>
      <c r="L45" s="254">
        <f t="shared" si="12"/>
        <v>0</v>
      </c>
    </row>
    <row r="46" spans="1:12" ht="14.25" customHeight="1" x14ac:dyDescent="0.35">
      <c r="A46" s="37"/>
      <c r="B46" s="132"/>
      <c r="C46" s="12"/>
      <c r="D46" s="103"/>
      <c r="E46" s="103"/>
      <c r="F46" s="103"/>
      <c r="G46" s="103"/>
      <c r="H46" s="103"/>
      <c r="I46" s="103"/>
      <c r="J46" s="252"/>
      <c r="K46" s="253"/>
      <c r="L46" s="254"/>
    </row>
    <row r="47" spans="1:12" ht="18.5" thickBot="1" x14ac:dyDescent="0.45">
      <c r="A47" s="37"/>
      <c r="B47" s="284" t="s">
        <v>1351</v>
      </c>
      <c r="C47" s="12"/>
      <c r="D47" s="103"/>
      <c r="E47" s="103"/>
      <c r="F47" s="103"/>
      <c r="G47" s="103"/>
      <c r="H47" s="103"/>
      <c r="I47" s="103"/>
      <c r="J47" s="103"/>
      <c r="K47" s="41"/>
      <c r="L47" s="8"/>
    </row>
    <row r="48" spans="1:12" ht="16" thickTop="1" x14ac:dyDescent="0.35">
      <c r="A48" s="37">
        <f>+A45+1</f>
        <v>31</v>
      </c>
      <c r="B48" s="165" t="s">
        <v>1352</v>
      </c>
      <c r="C48" s="12" t="s">
        <v>191</v>
      </c>
      <c r="D48" s="103">
        <v>1815</v>
      </c>
      <c r="E48" s="103"/>
      <c r="F48" s="103">
        <f t="shared" ref="F48:F53" si="14">D48+E48</f>
        <v>1815</v>
      </c>
      <c r="G48" s="103"/>
      <c r="H48" s="103">
        <f>MROUND((D48*(1+Sheet1!$C$3)),0.1)-49.9</f>
        <v>1815</v>
      </c>
      <c r="I48" s="103"/>
      <c r="J48" s="103">
        <f t="shared" ref="J48:J53" si="15">H48+I48</f>
        <v>1815</v>
      </c>
      <c r="K48" s="41">
        <f t="shared" ref="K48:K53" si="16">J48-F48</f>
        <v>0</v>
      </c>
      <c r="L48" s="8">
        <f t="shared" ref="L48:L53" si="17">IF(F48="","NEW",K48/F48)</f>
        <v>0</v>
      </c>
    </row>
    <row r="49" spans="1:12" ht="15.5" x14ac:dyDescent="0.35">
      <c r="A49" s="37">
        <f>+A48+1</f>
        <v>32</v>
      </c>
      <c r="B49" s="165" t="s">
        <v>1353</v>
      </c>
      <c r="C49" s="12" t="s">
        <v>191</v>
      </c>
      <c r="D49" s="103">
        <v>1372</v>
      </c>
      <c r="E49" s="103"/>
      <c r="F49" s="103">
        <f t="shared" si="14"/>
        <v>1372</v>
      </c>
      <c r="G49" s="103"/>
      <c r="H49" s="103">
        <f>MROUND((D49*(1+Sheet1!$C$3)),0.1)-37.7</f>
        <v>1372</v>
      </c>
      <c r="I49" s="103"/>
      <c r="J49" s="103">
        <f t="shared" si="15"/>
        <v>1372</v>
      </c>
      <c r="K49" s="41">
        <f t="shared" si="16"/>
        <v>0</v>
      </c>
      <c r="L49" s="8">
        <f t="shared" si="17"/>
        <v>0</v>
      </c>
    </row>
    <row r="50" spans="1:12" ht="15.5" x14ac:dyDescent="0.35">
      <c r="A50" s="37">
        <f>+A49+1</f>
        <v>33</v>
      </c>
      <c r="B50" s="165" t="s">
        <v>1354</v>
      </c>
      <c r="C50" s="12" t="s">
        <v>191</v>
      </c>
      <c r="D50" s="103">
        <v>1372</v>
      </c>
      <c r="E50" s="103"/>
      <c r="F50" s="103">
        <f t="shared" si="14"/>
        <v>1372</v>
      </c>
      <c r="G50" s="103"/>
      <c r="H50" s="103">
        <f>MROUND((D50*(1+Sheet1!$C$3)),0.1)-37.7</f>
        <v>1372</v>
      </c>
      <c r="I50" s="103"/>
      <c r="J50" s="103">
        <f t="shared" si="15"/>
        <v>1372</v>
      </c>
      <c r="K50" s="41">
        <f t="shared" si="16"/>
        <v>0</v>
      </c>
      <c r="L50" s="8">
        <f t="shared" si="17"/>
        <v>0</v>
      </c>
    </row>
    <row r="51" spans="1:12" ht="15.5" x14ac:dyDescent="0.35">
      <c r="A51" s="37">
        <f>+A50+1</f>
        <v>34</v>
      </c>
      <c r="B51" s="86" t="s">
        <v>1355</v>
      </c>
      <c r="C51" s="12" t="s">
        <v>191</v>
      </c>
      <c r="D51" s="103">
        <v>1372</v>
      </c>
      <c r="E51" s="103"/>
      <c r="F51" s="103">
        <f t="shared" si="14"/>
        <v>1372</v>
      </c>
      <c r="G51" s="103"/>
      <c r="H51" s="103">
        <f>MROUND((D51*(1+Sheet1!$C$3)),0.1)-37.7</f>
        <v>1372</v>
      </c>
      <c r="I51" s="103"/>
      <c r="J51" s="103">
        <f t="shared" si="15"/>
        <v>1372</v>
      </c>
      <c r="K51" s="41">
        <f t="shared" si="16"/>
        <v>0</v>
      </c>
      <c r="L51" s="8">
        <f t="shared" si="17"/>
        <v>0</v>
      </c>
    </row>
    <row r="52" spans="1:12" ht="15.5" x14ac:dyDescent="0.35">
      <c r="A52" s="37">
        <f>+A51+1</f>
        <v>35</v>
      </c>
      <c r="B52" s="86" t="s">
        <v>1356</v>
      </c>
      <c r="C52" s="12" t="s">
        <v>191</v>
      </c>
      <c r="D52" s="103">
        <v>99</v>
      </c>
      <c r="E52" s="103"/>
      <c r="F52" s="103">
        <f t="shared" si="14"/>
        <v>99</v>
      </c>
      <c r="G52" s="103"/>
      <c r="H52" s="103">
        <f>MROUND((D52*(1+Sheet1!$C$3)),0.1)-2.7</f>
        <v>99</v>
      </c>
      <c r="I52" s="103"/>
      <c r="J52" s="103">
        <f t="shared" si="15"/>
        <v>99</v>
      </c>
      <c r="K52" s="41">
        <f t="shared" si="16"/>
        <v>0</v>
      </c>
      <c r="L52" s="8">
        <f t="shared" si="17"/>
        <v>0</v>
      </c>
    </row>
    <row r="53" spans="1:12" ht="15.5" x14ac:dyDescent="0.35">
      <c r="A53" s="37">
        <f>+A52+1</f>
        <v>36</v>
      </c>
      <c r="B53" s="86" t="s">
        <v>1357</v>
      </c>
      <c r="C53" s="12" t="s">
        <v>191</v>
      </c>
      <c r="D53" s="103">
        <v>34</v>
      </c>
      <c r="E53" s="103"/>
      <c r="F53" s="103">
        <f t="shared" si="14"/>
        <v>34</v>
      </c>
      <c r="G53" s="103"/>
      <c r="H53" s="103">
        <f>MROUND((D53*(1+Sheet1!$C$3)),0.1)-0.9</f>
        <v>34</v>
      </c>
      <c r="I53" s="103"/>
      <c r="J53" s="103">
        <f t="shared" si="15"/>
        <v>34</v>
      </c>
      <c r="K53" s="41">
        <f t="shared" si="16"/>
        <v>0</v>
      </c>
      <c r="L53" s="8">
        <f t="shared" si="17"/>
        <v>0</v>
      </c>
    </row>
    <row r="54" spans="1:12" ht="15.5" x14ac:dyDescent="0.35">
      <c r="A54" s="37"/>
      <c r="B54" s="86"/>
      <c r="C54" s="12"/>
      <c r="D54" s="103"/>
      <c r="E54" s="103"/>
      <c r="F54" s="103"/>
      <c r="G54" s="103"/>
      <c r="H54" s="103"/>
      <c r="I54" s="103"/>
      <c r="J54" s="103"/>
      <c r="K54" s="41"/>
      <c r="L54" s="8"/>
    </row>
    <row r="55" spans="1:12" ht="18.5" thickBot="1" x14ac:dyDescent="0.45">
      <c r="A55" s="37"/>
      <c r="B55" s="284" t="s">
        <v>1358</v>
      </c>
      <c r="C55" s="12"/>
      <c r="D55" s="103"/>
      <c r="E55" s="103"/>
      <c r="F55" s="103"/>
      <c r="G55" s="103"/>
      <c r="H55" s="103"/>
      <c r="I55" s="103"/>
      <c r="J55" s="103"/>
      <c r="K55" s="41"/>
      <c r="L55" s="8"/>
    </row>
    <row r="56" spans="1:12" ht="17.5" thickTop="1" thickBot="1" x14ac:dyDescent="0.4">
      <c r="A56" s="37"/>
      <c r="B56" s="285" t="s">
        <v>1359</v>
      </c>
      <c r="C56" s="12"/>
      <c r="D56" s="103"/>
      <c r="E56" s="103"/>
      <c r="F56" s="103"/>
      <c r="G56" s="103"/>
      <c r="H56" s="103"/>
      <c r="I56" s="103"/>
      <c r="J56" s="103"/>
      <c r="K56" s="41"/>
      <c r="L56" s="8"/>
    </row>
    <row r="57" spans="1:12" ht="15" customHeight="1" x14ac:dyDescent="0.35">
      <c r="A57" s="37">
        <f>A53+1</f>
        <v>37</v>
      </c>
      <c r="B57" s="165" t="s">
        <v>1360</v>
      </c>
      <c r="C57" s="12" t="s">
        <v>191</v>
      </c>
      <c r="D57" s="103">
        <v>383</v>
      </c>
      <c r="E57" s="511"/>
      <c r="F57" s="103">
        <f>D57+E57</f>
        <v>383</v>
      </c>
      <c r="G57" s="103"/>
      <c r="H57" s="103">
        <f>MROUND((D57*(1+Sheet1!$C$3)),0.1)+1.5</f>
        <v>395</v>
      </c>
      <c r="I57" s="511"/>
      <c r="J57" s="103">
        <f>H57+I57</f>
        <v>395</v>
      </c>
      <c r="K57" s="41">
        <f>J57-F57</f>
        <v>12</v>
      </c>
      <c r="L57" s="8">
        <f>IF(F57="","NEW",K57/F57)</f>
        <v>3.1331592689295036E-2</v>
      </c>
    </row>
    <row r="58" spans="1:12" ht="15" customHeight="1" x14ac:dyDescent="0.35">
      <c r="A58" s="37">
        <f>A57+1</f>
        <v>38</v>
      </c>
      <c r="B58" s="165" t="s">
        <v>1361</v>
      </c>
      <c r="C58" s="12" t="s">
        <v>191</v>
      </c>
      <c r="D58" s="103">
        <v>64</v>
      </c>
      <c r="E58" s="511"/>
      <c r="F58" s="103">
        <f>D58+E58</f>
        <v>64</v>
      </c>
      <c r="G58" s="103"/>
      <c r="H58" s="103">
        <f>MROUND((D58*(1+Sheet1!$C$3)),0.1)+0.2</f>
        <v>66</v>
      </c>
      <c r="I58" s="511"/>
      <c r="J58" s="103">
        <f>H58+I58</f>
        <v>66</v>
      </c>
      <c r="K58" s="41">
        <f>J58-F58</f>
        <v>2</v>
      </c>
      <c r="L58" s="8">
        <f>IF(F58="","NEW",K58/F58)</f>
        <v>3.125E-2</v>
      </c>
    </row>
    <row r="59" spans="1:12" ht="15.5" x14ac:dyDescent="0.35">
      <c r="A59" s="37"/>
      <c r="B59" s="86"/>
      <c r="C59" s="12"/>
      <c r="D59" s="255"/>
      <c r="E59" s="511"/>
      <c r="F59" s="255"/>
      <c r="G59" s="103"/>
      <c r="H59" s="255"/>
      <c r="I59" s="511"/>
      <c r="J59" s="255"/>
      <c r="K59" s="41"/>
      <c r="L59" s="8"/>
    </row>
    <row r="60" spans="1:12" ht="17" thickBot="1" x14ac:dyDescent="0.4">
      <c r="A60" s="37"/>
      <c r="B60" s="264" t="s">
        <v>1362</v>
      </c>
      <c r="C60" s="12"/>
      <c r="D60" s="255"/>
      <c r="E60" s="511"/>
      <c r="F60" s="255"/>
      <c r="G60" s="103"/>
      <c r="H60" s="255"/>
      <c r="I60" s="511"/>
      <c r="J60" s="255"/>
      <c r="K60" s="41"/>
      <c r="L60" s="8"/>
    </row>
    <row r="61" spans="1:12" ht="15" customHeight="1" x14ac:dyDescent="0.35">
      <c r="A61" s="37">
        <f>+A58+1</f>
        <v>39</v>
      </c>
      <c r="B61" s="165" t="s">
        <v>1360</v>
      </c>
      <c r="C61" s="12" t="s">
        <v>191</v>
      </c>
      <c r="D61" s="103">
        <v>341</v>
      </c>
      <c r="E61" s="511"/>
      <c r="F61" s="103">
        <f>D61+E61</f>
        <v>341</v>
      </c>
      <c r="G61" s="103"/>
      <c r="H61" s="103">
        <f>MROUND((D61*(1+Sheet1!$C$3)),0.1)-0.4</f>
        <v>350.00000000000006</v>
      </c>
      <c r="I61" s="511"/>
      <c r="J61" s="103">
        <f>H61+I61</f>
        <v>350.00000000000006</v>
      </c>
      <c r="K61" s="41">
        <f>J61-F61</f>
        <v>9.0000000000000568</v>
      </c>
      <c r="L61" s="8">
        <f>IF(F61="","NEW",K61/F61)</f>
        <v>2.6392961876833012E-2</v>
      </c>
    </row>
    <row r="62" spans="1:12" ht="15" customHeight="1" x14ac:dyDescent="0.35">
      <c r="A62" s="37">
        <f>A61+1</f>
        <v>40</v>
      </c>
      <c r="B62" s="165" t="s">
        <v>1363</v>
      </c>
      <c r="C62" s="12" t="s">
        <v>191</v>
      </c>
      <c r="D62" s="103">
        <v>64</v>
      </c>
      <c r="E62" s="511"/>
      <c r="F62" s="103">
        <f>D62+E62</f>
        <v>64</v>
      </c>
      <c r="G62" s="103"/>
      <c r="H62" s="103">
        <f>MROUND((D62*(1+Sheet1!$C$3)),0.1)+0.2</f>
        <v>66</v>
      </c>
      <c r="I62" s="511"/>
      <c r="J62" s="103">
        <f>H62+I62</f>
        <v>66</v>
      </c>
      <c r="K62" s="41">
        <f>J62-F62</f>
        <v>2</v>
      </c>
      <c r="L62" s="8">
        <f>IF(F62="","NEW",K62/F62)</f>
        <v>3.125E-2</v>
      </c>
    </row>
    <row r="63" spans="1:12" ht="15" customHeight="1" x14ac:dyDescent="0.35">
      <c r="A63" s="101"/>
      <c r="B63" s="86"/>
      <c r="C63" s="12"/>
      <c r="D63" s="103"/>
      <c r="E63" s="511"/>
      <c r="F63" s="255"/>
      <c r="G63" s="103"/>
      <c r="H63" s="103"/>
      <c r="I63" s="511"/>
      <c r="J63" s="255"/>
      <c r="K63" s="41"/>
      <c r="L63" s="8"/>
    </row>
    <row r="64" spans="1:12" ht="17" thickBot="1" x14ac:dyDescent="0.4">
      <c r="A64" s="37"/>
      <c r="B64" s="264" t="s">
        <v>1364</v>
      </c>
      <c r="C64" s="12"/>
      <c r="D64" s="103"/>
      <c r="E64" s="511"/>
      <c r="F64" s="255"/>
      <c r="G64" s="103"/>
      <c r="H64" s="103"/>
      <c r="I64" s="511"/>
      <c r="J64" s="255"/>
      <c r="K64" s="41"/>
      <c r="L64" s="8"/>
    </row>
    <row r="65" spans="1:12" ht="31" x14ac:dyDescent="0.35">
      <c r="A65" s="37">
        <f>A62+1</f>
        <v>41</v>
      </c>
      <c r="B65" s="132" t="s">
        <v>1365</v>
      </c>
      <c r="C65" s="16" t="s">
        <v>191</v>
      </c>
      <c r="D65" s="40">
        <v>384.5</v>
      </c>
      <c r="E65" s="512"/>
      <c r="F65" s="40">
        <f t="shared" ref="F65:F70" si="18">D65+E65</f>
        <v>384.5</v>
      </c>
      <c r="G65" s="40"/>
      <c r="H65" s="40">
        <f>MROUND((D65*(1+Sheet1!$C$3)),0.1)-0.1</f>
        <v>395</v>
      </c>
      <c r="I65" s="512"/>
      <c r="J65" s="40">
        <f t="shared" ref="J65:J69" si="19">H65+I65</f>
        <v>395</v>
      </c>
      <c r="K65" s="41">
        <f t="shared" ref="K65:K69" si="20">J65-F65</f>
        <v>10.5</v>
      </c>
      <c r="L65" s="8">
        <f t="shared" ref="L65:L69" si="21">IF(F65="","NEW",K65/F65)</f>
        <v>2.7308192457737322E-2</v>
      </c>
    </row>
    <row r="66" spans="1:12" ht="31" x14ac:dyDescent="0.35">
      <c r="A66" s="37">
        <f>A65+1</f>
        <v>42</v>
      </c>
      <c r="B66" s="132" t="s">
        <v>1366</v>
      </c>
      <c r="C66" s="16" t="s">
        <v>191</v>
      </c>
      <c r="D66" s="40">
        <v>18.329999999999998</v>
      </c>
      <c r="E66" s="40">
        <f>ROUND(D66*0.2,2)</f>
        <v>3.67</v>
      </c>
      <c r="F66" s="40">
        <f t="shared" si="18"/>
        <v>22</v>
      </c>
      <c r="G66" s="103"/>
      <c r="H66" s="40">
        <f>MROUND((D66*(1+Sheet1!$C$3)),0.1)+0.37</f>
        <v>19.170000000000002</v>
      </c>
      <c r="I66" s="40">
        <f>ROUND(H66*0.2,2)</f>
        <v>3.83</v>
      </c>
      <c r="J66" s="40">
        <f t="shared" si="19"/>
        <v>23</v>
      </c>
      <c r="K66" s="41">
        <f t="shared" si="20"/>
        <v>1</v>
      </c>
      <c r="L66" s="8">
        <f t="shared" si="21"/>
        <v>4.5454545454545456E-2</v>
      </c>
    </row>
    <row r="67" spans="1:12" ht="15" customHeight="1" x14ac:dyDescent="0.35">
      <c r="A67" s="37">
        <f t="shared" ref="A67:A70" si="22">+A66+1</f>
        <v>43</v>
      </c>
      <c r="B67" s="165" t="s">
        <v>1367</v>
      </c>
      <c r="C67" s="12" t="s">
        <v>191</v>
      </c>
      <c r="D67" s="103">
        <v>333</v>
      </c>
      <c r="E67" s="511"/>
      <c r="F67" s="103">
        <f t="shared" si="18"/>
        <v>333</v>
      </c>
      <c r="G67" s="103"/>
      <c r="H67" s="40">
        <f>MROUND((D67*(1+Sheet1!$C$3)),0.1)+2.8</f>
        <v>345.00000000000006</v>
      </c>
      <c r="I67" s="511"/>
      <c r="J67" s="103">
        <f t="shared" si="19"/>
        <v>345.00000000000006</v>
      </c>
      <c r="K67" s="41">
        <f t="shared" si="20"/>
        <v>12.000000000000057</v>
      </c>
      <c r="L67" s="8">
        <f t="shared" si="21"/>
        <v>3.6036036036036209E-2</v>
      </c>
    </row>
    <row r="68" spans="1:12" ht="15" customHeight="1" x14ac:dyDescent="0.35">
      <c r="A68" s="37">
        <f t="shared" si="22"/>
        <v>44</v>
      </c>
      <c r="B68" s="165" t="s">
        <v>1368</v>
      </c>
      <c r="C68" s="12" t="s">
        <v>191</v>
      </c>
      <c r="D68" s="103">
        <v>68.5</v>
      </c>
      <c r="E68" s="511"/>
      <c r="F68" s="103">
        <f t="shared" si="18"/>
        <v>68.5</v>
      </c>
      <c r="G68" s="103"/>
      <c r="H68" s="40">
        <f>MROUND((D68*(1+Sheet1!$C$3)),0.1)-0.4</f>
        <v>70</v>
      </c>
      <c r="I68" s="511"/>
      <c r="J68" s="103">
        <f t="shared" si="19"/>
        <v>70</v>
      </c>
      <c r="K68" s="41">
        <f t="shared" si="20"/>
        <v>1.5</v>
      </c>
      <c r="L68" s="8">
        <f t="shared" si="21"/>
        <v>2.1897810218978103E-2</v>
      </c>
    </row>
    <row r="69" spans="1:12" ht="15.5" x14ac:dyDescent="0.35">
      <c r="A69" s="37">
        <f t="shared" si="22"/>
        <v>45</v>
      </c>
      <c r="B69" s="86" t="s">
        <v>1369</v>
      </c>
      <c r="C69" s="12" t="s">
        <v>191</v>
      </c>
      <c r="D69" s="103">
        <v>87.5</v>
      </c>
      <c r="E69" s="103"/>
      <c r="F69" s="103">
        <f t="shared" si="18"/>
        <v>87.5</v>
      </c>
      <c r="G69" s="103"/>
      <c r="H69" s="40">
        <f>MROUND((D69*(1+Sheet1!$C$3)),0.1)+0.1</f>
        <v>90</v>
      </c>
      <c r="I69" s="511"/>
      <c r="J69" s="103">
        <f t="shared" si="19"/>
        <v>90</v>
      </c>
      <c r="K69" s="41">
        <f t="shared" si="20"/>
        <v>2.5</v>
      </c>
      <c r="L69" s="8">
        <f t="shared" si="21"/>
        <v>2.8571428571428571E-2</v>
      </c>
    </row>
    <row r="70" spans="1:12" ht="15.5" x14ac:dyDescent="0.35">
      <c r="A70" s="37">
        <f t="shared" si="22"/>
        <v>46</v>
      </c>
      <c r="B70" s="86" t="s">
        <v>1370</v>
      </c>
      <c r="C70" s="12" t="s">
        <v>12</v>
      </c>
      <c r="D70" s="103">
        <v>33</v>
      </c>
      <c r="E70" s="103"/>
      <c r="F70" s="103">
        <f t="shared" si="18"/>
        <v>33</v>
      </c>
      <c r="G70" s="103"/>
      <c r="H70" s="40">
        <f>MROUND((D70*(1+Sheet1!$C$3)),0.1)+0.1</f>
        <v>34</v>
      </c>
      <c r="I70" s="103"/>
      <c r="J70" s="103">
        <f>H70+I70</f>
        <v>34</v>
      </c>
      <c r="K70" s="41">
        <f>J70-F70</f>
        <v>1</v>
      </c>
      <c r="L70" s="8">
        <f>IF(F70="","NEW",K70/F70)</f>
        <v>3.0303030303030304E-2</v>
      </c>
    </row>
    <row r="71" spans="1:12" ht="15.5" x14ac:dyDescent="0.35">
      <c r="A71" s="37"/>
      <c r="B71" s="86"/>
      <c r="C71" s="12"/>
      <c r="D71" s="103"/>
      <c r="E71" s="103"/>
      <c r="F71" s="103"/>
      <c r="G71" s="103"/>
      <c r="H71" s="103"/>
      <c r="I71" s="103"/>
      <c r="J71" s="103"/>
      <c r="K71" s="41"/>
      <c r="L71" s="8"/>
    </row>
    <row r="72" spans="1:12" ht="17" thickBot="1" x14ac:dyDescent="0.4">
      <c r="A72" s="37"/>
      <c r="B72" s="285" t="s">
        <v>1371</v>
      </c>
      <c r="C72" s="12"/>
      <c r="D72" s="103"/>
      <c r="E72" s="103"/>
      <c r="F72" s="103"/>
      <c r="G72" s="103"/>
      <c r="H72" s="103"/>
      <c r="I72" s="103"/>
      <c r="J72" s="103"/>
      <c r="K72" s="41"/>
      <c r="L72" s="8"/>
    </row>
    <row r="73" spans="1:12" ht="15.5" x14ac:dyDescent="0.35">
      <c r="A73" s="37">
        <f>A70+1</f>
        <v>47</v>
      </c>
      <c r="B73" s="165" t="s">
        <v>1372</v>
      </c>
      <c r="C73" s="12" t="s">
        <v>191</v>
      </c>
      <c r="D73" s="103">
        <v>1405</v>
      </c>
      <c r="E73" s="103"/>
      <c r="F73" s="103">
        <f>D73+E73</f>
        <v>1405</v>
      </c>
      <c r="G73" s="103"/>
      <c r="H73" s="40">
        <f>MROUND((D73*(1+Sheet1!$C$3)),0.1)+1.4</f>
        <v>1445.0000000000002</v>
      </c>
      <c r="I73" s="103"/>
      <c r="J73" s="103">
        <f>H73+I73</f>
        <v>1445.0000000000002</v>
      </c>
      <c r="K73" s="41">
        <f>J73-F73</f>
        <v>40.000000000000227</v>
      </c>
      <c r="L73" s="8">
        <f>IF(F73="","NEW",K73/F73)</f>
        <v>2.8469750889679877E-2</v>
      </c>
    </row>
    <row r="74" spans="1:12" ht="15.5" x14ac:dyDescent="0.35">
      <c r="A74" s="37">
        <f>+A73+1</f>
        <v>48</v>
      </c>
      <c r="B74" s="165" t="s">
        <v>1373</v>
      </c>
      <c r="C74" s="12" t="s">
        <v>191</v>
      </c>
      <c r="D74" s="103">
        <v>1177</v>
      </c>
      <c r="E74" s="103"/>
      <c r="F74" s="103">
        <f>D74+E74</f>
        <v>1177</v>
      </c>
      <c r="G74" s="103"/>
      <c r="H74" s="40">
        <f>MROUND((D74*(1+Sheet1!$C$3)),0.1)+0.6</f>
        <v>1210</v>
      </c>
      <c r="I74" s="103"/>
      <c r="J74" s="103">
        <f>H74+I74</f>
        <v>1210</v>
      </c>
      <c r="K74" s="41">
        <f>J74-F74</f>
        <v>33</v>
      </c>
      <c r="L74" s="8">
        <f>IF(F74="","NEW",K74/F74)</f>
        <v>2.8037383177570093E-2</v>
      </c>
    </row>
    <row r="75" spans="1:12" ht="15.5" x14ac:dyDescent="0.35">
      <c r="A75" s="37">
        <f>+A74+1</f>
        <v>49</v>
      </c>
      <c r="B75" s="165" t="s">
        <v>1374</v>
      </c>
      <c r="C75" s="12" t="s">
        <v>191</v>
      </c>
      <c r="D75" s="103">
        <v>946</v>
      </c>
      <c r="E75" s="103"/>
      <c r="F75" s="103">
        <f>D75+E75</f>
        <v>946</v>
      </c>
      <c r="G75" s="103"/>
      <c r="H75" s="40">
        <f>MROUND((D75*(1+Sheet1!$C$3)),0.1)+3</f>
        <v>975</v>
      </c>
      <c r="I75" s="103"/>
      <c r="J75" s="103">
        <f>H75+I75</f>
        <v>975</v>
      </c>
      <c r="K75" s="41">
        <f>J75-F75</f>
        <v>29</v>
      </c>
      <c r="L75" s="8">
        <f>IF(F75="","NEW",K75/F75)</f>
        <v>3.06553911205074E-2</v>
      </c>
    </row>
    <row r="76" spans="1:12" ht="15.5" x14ac:dyDescent="0.35">
      <c r="A76" s="37">
        <f>+A75+1</f>
        <v>50</v>
      </c>
      <c r="B76" s="165" t="s">
        <v>1375</v>
      </c>
      <c r="C76" s="12" t="s">
        <v>191</v>
      </c>
      <c r="D76" s="103">
        <v>129</v>
      </c>
      <c r="E76" s="103"/>
      <c r="F76" s="103">
        <f>D76+E76</f>
        <v>129</v>
      </c>
      <c r="G76" s="103"/>
      <c r="H76" s="40">
        <f>MROUND((D76*(1+Sheet1!$C$3)),0.1)+0.5</f>
        <v>133</v>
      </c>
      <c r="I76" s="103"/>
      <c r="J76" s="103">
        <f>H76+I76</f>
        <v>133</v>
      </c>
      <c r="K76" s="41">
        <f>J76-F76</f>
        <v>4</v>
      </c>
      <c r="L76" s="8">
        <f>IF(F76="","NEW",K76/F76)</f>
        <v>3.1007751937984496E-2</v>
      </c>
    </row>
    <row r="77" spans="1:12" ht="15.5" x14ac:dyDescent="0.35">
      <c r="A77" s="37"/>
      <c r="B77" s="86"/>
      <c r="C77" s="12"/>
      <c r="D77" s="103"/>
      <c r="E77" s="103"/>
      <c r="F77" s="103"/>
      <c r="G77" s="103"/>
      <c r="H77" s="103"/>
      <c r="I77" s="103"/>
      <c r="J77" s="103"/>
      <c r="K77" s="41"/>
      <c r="L77" s="8"/>
    </row>
    <row r="78" spans="1:12" ht="17" thickBot="1" x14ac:dyDescent="0.4">
      <c r="A78" s="37"/>
      <c r="B78" s="264" t="s">
        <v>1376</v>
      </c>
      <c r="C78" s="12"/>
      <c r="D78" s="103"/>
      <c r="E78" s="103"/>
      <c r="F78" s="103"/>
      <c r="G78" s="103"/>
      <c r="H78" s="103"/>
      <c r="I78" s="103"/>
      <c r="J78" s="103"/>
      <c r="K78" s="41"/>
      <c r="L78" s="8"/>
    </row>
    <row r="79" spans="1:12" ht="15.5" x14ac:dyDescent="0.35">
      <c r="A79" s="37">
        <f>+A76+1</f>
        <v>51</v>
      </c>
      <c r="B79" s="165" t="s">
        <v>1377</v>
      </c>
      <c r="C79" s="12" t="s">
        <v>191</v>
      </c>
      <c r="D79" s="103">
        <v>6.5</v>
      </c>
      <c r="E79" s="103"/>
      <c r="F79" s="103">
        <f t="shared" ref="F79:F84" si="23">D79+E79</f>
        <v>6.5</v>
      </c>
      <c r="G79" s="103"/>
      <c r="H79" s="103">
        <f t="shared" ref="H79:H84" si="24">D79</f>
        <v>6.5</v>
      </c>
      <c r="I79" s="103"/>
      <c r="J79" s="103">
        <f t="shared" ref="J79:J84" si="25">H79+I79</f>
        <v>6.5</v>
      </c>
      <c r="K79" s="41">
        <f t="shared" ref="K79:K84" si="26">J79-F79</f>
        <v>0</v>
      </c>
      <c r="L79" s="8">
        <f t="shared" ref="L79:L84" si="27">IF(F79="","NEW",K79/F79)</f>
        <v>0</v>
      </c>
    </row>
    <row r="80" spans="1:12" ht="15.5" x14ac:dyDescent="0.35">
      <c r="A80" s="37">
        <f>+A79+1</f>
        <v>52</v>
      </c>
      <c r="B80" s="165" t="s">
        <v>1378</v>
      </c>
      <c r="C80" s="12" t="s">
        <v>191</v>
      </c>
      <c r="D80" s="103">
        <v>22</v>
      </c>
      <c r="E80" s="103"/>
      <c r="F80" s="103">
        <f t="shared" si="23"/>
        <v>22</v>
      </c>
      <c r="G80" s="103"/>
      <c r="H80" s="103">
        <f t="shared" si="24"/>
        <v>22</v>
      </c>
      <c r="I80" s="103"/>
      <c r="J80" s="103">
        <f t="shared" si="25"/>
        <v>22</v>
      </c>
      <c r="K80" s="41">
        <f t="shared" si="26"/>
        <v>0</v>
      </c>
      <c r="L80" s="8">
        <f t="shared" si="27"/>
        <v>0</v>
      </c>
    </row>
    <row r="81" spans="1:12" ht="15.5" x14ac:dyDescent="0.35">
      <c r="A81" s="37">
        <f>+A80+1</f>
        <v>53</v>
      </c>
      <c r="B81" s="165" t="s">
        <v>1379</v>
      </c>
      <c r="C81" s="12" t="s">
        <v>191</v>
      </c>
      <c r="D81" s="103">
        <v>22</v>
      </c>
      <c r="E81" s="103"/>
      <c r="F81" s="103">
        <f t="shared" si="23"/>
        <v>22</v>
      </c>
      <c r="G81" s="103"/>
      <c r="H81" s="103">
        <f t="shared" si="24"/>
        <v>22</v>
      </c>
      <c r="I81" s="103"/>
      <c r="J81" s="103">
        <f t="shared" si="25"/>
        <v>22</v>
      </c>
      <c r="K81" s="41">
        <f t="shared" si="26"/>
        <v>0</v>
      </c>
      <c r="L81" s="8">
        <f t="shared" si="27"/>
        <v>0</v>
      </c>
    </row>
    <row r="82" spans="1:12" ht="15.5" x14ac:dyDescent="0.35">
      <c r="A82" s="37">
        <f t="shared" ref="A82:A84" si="28">+A81+1</f>
        <v>54</v>
      </c>
      <c r="B82" s="165" t="s">
        <v>1380</v>
      </c>
      <c r="C82" s="12" t="s">
        <v>191</v>
      </c>
      <c r="D82" s="103">
        <v>11</v>
      </c>
      <c r="E82" s="103"/>
      <c r="F82" s="103">
        <f t="shared" si="23"/>
        <v>11</v>
      </c>
      <c r="G82" s="103"/>
      <c r="H82" s="103">
        <f t="shared" si="24"/>
        <v>11</v>
      </c>
      <c r="I82" s="103"/>
      <c r="J82" s="103">
        <f t="shared" si="25"/>
        <v>11</v>
      </c>
      <c r="K82" s="41">
        <f t="shared" si="26"/>
        <v>0</v>
      </c>
      <c r="L82" s="8">
        <f t="shared" si="27"/>
        <v>0</v>
      </c>
    </row>
    <row r="83" spans="1:12" ht="15.5" x14ac:dyDescent="0.35">
      <c r="A83" s="37">
        <f t="shared" si="28"/>
        <v>55</v>
      </c>
      <c r="B83" s="165" t="s">
        <v>1381</v>
      </c>
      <c r="C83" s="12" t="s">
        <v>191</v>
      </c>
      <c r="D83" s="103">
        <v>22</v>
      </c>
      <c r="E83" s="103"/>
      <c r="F83" s="103">
        <f t="shared" si="23"/>
        <v>22</v>
      </c>
      <c r="G83" s="103"/>
      <c r="H83" s="103">
        <f t="shared" si="24"/>
        <v>22</v>
      </c>
      <c r="I83" s="103"/>
      <c r="J83" s="103">
        <f t="shared" si="25"/>
        <v>22</v>
      </c>
      <c r="K83" s="41">
        <f t="shared" si="26"/>
        <v>0</v>
      </c>
      <c r="L83" s="8">
        <f t="shared" si="27"/>
        <v>0</v>
      </c>
    </row>
    <row r="84" spans="1:12" ht="15.5" x14ac:dyDescent="0.35">
      <c r="A84" s="37">
        <f t="shared" si="28"/>
        <v>56</v>
      </c>
      <c r="B84" s="86" t="s">
        <v>1382</v>
      </c>
      <c r="C84" s="12" t="s">
        <v>191</v>
      </c>
      <c r="D84" s="103">
        <v>16</v>
      </c>
      <c r="E84" s="103"/>
      <c r="F84" s="103">
        <f t="shared" si="23"/>
        <v>16</v>
      </c>
      <c r="G84" s="103"/>
      <c r="H84" s="103">
        <f t="shared" si="24"/>
        <v>16</v>
      </c>
      <c r="I84" s="103"/>
      <c r="J84" s="103">
        <f t="shared" si="25"/>
        <v>16</v>
      </c>
      <c r="K84" s="41">
        <f t="shared" si="26"/>
        <v>0</v>
      </c>
      <c r="L84" s="8">
        <f t="shared" si="27"/>
        <v>0</v>
      </c>
    </row>
    <row r="85" spans="1:12" ht="15.5" x14ac:dyDescent="0.35">
      <c r="A85" s="37"/>
      <c r="B85" s="86"/>
      <c r="C85" s="12"/>
      <c r="D85" s="103"/>
      <c r="E85" s="103"/>
      <c r="F85" s="103"/>
      <c r="G85" s="103"/>
      <c r="H85" s="103"/>
      <c r="I85" s="103"/>
      <c r="J85" s="103"/>
      <c r="K85" s="41"/>
      <c r="L85" s="8"/>
    </row>
    <row r="86" spans="1:12" ht="17" thickBot="1" x14ac:dyDescent="0.4">
      <c r="A86" s="37"/>
      <c r="B86" s="264" t="s">
        <v>1383</v>
      </c>
      <c r="C86" s="12"/>
      <c r="D86" s="103"/>
      <c r="E86" s="103"/>
      <c r="F86" s="103"/>
      <c r="G86" s="103"/>
      <c r="H86" s="103"/>
      <c r="I86" s="103"/>
      <c r="J86" s="103"/>
      <c r="K86" s="41"/>
      <c r="L86" s="8"/>
    </row>
    <row r="87" spans="1:12" ht="15.5" x14ac:dyDescent="0.35">
      <c r="A87" s="37">
        <f>A84+1</f>
        <v>57</v>
      </c>
      <c r="B87" s="165" t="s">
        <v>1384</v>
      </c>
      <c r="C87" s="12" t="s">
        <v>12</v>
      </c>
      <c r="D87" s="103">
        <v>45</v>
      </c>
      <c r="E87" s="103"/>
      <c r="F87" s="103">
        <f>D87+E87</f>
        <v>45</v>
      </c>
      <c r="G87" s="103"/>
      <c r="H87" s="40">
        <f>MROUND((D87*(1+Sheet1!$C$3)),0.1)-0.2</f>
        <v>46</v>
      </c>
      <c r="I87" s="103"/>
      <c r="J87" s="103">
        <f>H87+I87</f>
        <v>46</v>
      </c>
      <c r="K87" s="41">
        <f>J87-F87</f>
        <v>1</v>
      </c>
      <c r="L87" s="8">
        <f>IF(F87="","NEW",K87/F87)</f>
        <v>2.2222222222222223E-2</v>
      </c>
    </row>
    <row r="88" spans="1:12" ht="15.5" x14ac:dyDescent="0.35">
      <c r="A88" s="37">
        <f>+A87+1</f>
        <v>58</v>
      </c>
      <c r="B88" s="165" t="s">
        <v>1385</v>
      </c>
      <c r="C88" s="12" t="s">
        <v>12</v>
      </c>
      <c r="D88" s="103">
        <v>45</v>
      </c>
      <c r="E88" s="103"/>
      <c r="F88" s="103">
        <f>D88+E88</f>
        <v>45</v>
      </c>
      <c r="G88" s="103"/>
      <c r="H88" s="40">
        <f>MROUND((D88*(1+Sheet1!$C$3)),0.1)-0.2</f>
        <v>46</v>
      </c>
      <c r="I88" s="103"/>
      <c r="J88" s="103">
        <f>H88+I88</f>
        <v>46</v>
      </c>
      <c r="K88" s="41">
        <f>J88-F88</f>
        <v>1</v>
      </c>
      <c r="L88" s="8">
        <f>IF(F88="","NEW",K88/F88)</f>
        <v>2.2222222222222223E-2</v>
      </c>
    </row>
    <row r="89" spans="1:12" ht="15.5" x14ac:dyDescent="0.35">
      <c r="A89" s="37"/>
      <c r="B89" s="86"/>
      <c r="C89" s="12"/>
      <c r="D89" s="103"/>
      <c r="E89" s="103"/>
      <c r="F89" s="103"/>
      <c r="G89" s="103"/>
      <c r="H89" s="103"/>
      <c r="I89" s="103"/>
      <c r="J89" s="103"/>
      <c r="K89" s="41"/>
      <c r="L89" s="8"/>
    </row>
    <row r="90" spans="1:12" ht="18.5" thickBot="1" x14ac:dyDescent="0.4">
      <c r="A90" s="37"/>
      <c r="B90" s="269" t="s">
        <v>1386</v>
      </c>
      <c r="C90" s="12"/>
      <c r="D90" s="103"/>
      <c r="E90" s="103"/>
      <c r="F90" s="103"/>
      <c r="G90" s="103"/>
      <c r="H90" s="103"/>
      <c r="I90" s="103"/>
      <c r="J90" s="103"/>
      <c r="K90" s="41"/>
      <c r="L90" s="8"/>
    </row>
    <row r="91" spans="1:12" ht="16" thickTop="1" x14ac:dyDescent="0.35">
      <c r="A91" s="37">
        <f>A88+1</f>
        <v>59</v>
      </c>
      <c r="B91" s="165" t="s">
        <v>1387</v>
      </c>
      <c r="C91" s="12" t="s">
        <v>191</v>
      </c>
      <c r="D91" s="103">
        <v>167</v>
      </c>
      <c r="E91" s="103"/>
      <c r="F91" s="103">
        <f t="shared" ref="F91:F98" si="29">D91+E91</f>
        <v>167</v>
      </c>
      <c r="G91" s="103"/>
      <c r="H91" s="103">
        <f>MROUND((D91*(1+Sheet1!$C$3)),0.1)+3.4</f>
        <v>175.00000000000003</v>
      </c>
      <c r="I91" s="103"/>
      <c r="J91" s="103">
        <f t="shared" ref="J91:J98" si="30">H91+I91</f>
        <v>175.00000000000003</v>
      </c>
      <c r="K91" s="41">
        <f t="shared" ref="K91:K98" si="31">J91-F91</f>
        <v>8.0000000000000284</v>
      </c>
      <c r="L91" s="8">
        <f t="shared" ref="L91:L98" si="32">IF(F91="","NEW",K91/F91)</f>
        <v>4.7904191616766637E-2</v>
      </c>
    </row>
    <row r="92" spans="1:12" ht="15.5" x14ac:dyDescent="0.35">
      <c r="A92" s="37">
        <f>A91+1</f>
        <v>60</v>
      </c>
      <c r="B92" s="165" t="s">
        <v>1388</v>
      </c>
      <c r="C92" s="12" t="s">
        <v>191</v>
      </c>
      <c r="D92" s="103">
        <v>508</v>
      </c>
      <c r="E92" s="103"/>
      <c r="F92" s="103">
        <f t="shared" si="29"/>
        <v>508</v>
      </c>
      <c r="G92" s="103"/>
      <c r="H92" s="103">
        <f>MROUND((D92*(1+Sheet1!$C$3)),0.1)+3</f>
        <v>525</v>
      </c>
      <c r="I92" s="103"/>
      <c r="J92" s="103">
        <f t="shared" si="30"/>
        <v>525</v>
      </c>
      <c r="K92" s="41">
        <f t="shared" si="31"/>
        <v>17</v>
      </c>
      <c r="L92" s="8">
        <f t="shared" si="32"/>
        <v>3.3464566929133861E-2</v>
      </c>
    </row>
    <row r="93" spans="1:12" ht="15.5" x14ac:dyDescent="0.35">
      <c r="A93" s="37">
        <f>A92+1</f>
        <v>61</v>
      </c>
      <c r="B93" s="165" t="s">
        <v>1389</v>
      </c>
      <c r="C93" s="12" t="s">
        <v>191</v>
      </c>
      <c r="D93" s="103">
        <v>40.5</v>
      </c>
      <c r="E93" s="103"/>
      <c r="F93" s="103">
        <f t="shared" si="29"/>
        <v>40.5</v>
      </c>
      <c r="G93" s="103"/>
      <c r="H93" s="103">
        <f>MROUND((D93*(1+Sheet1!$C$3)),0.1)+3.4</f>
        <v>45</v>
      </c>
      <c r="I93" s="103"/>
      <c r="J93" s="103">
        <f t="shared" si="30"/>
        <v>45</v>
      </c>
      <c r="K93" s="41">
        <f t="shared" si="31"/>
        <v>4.5</v>
      </c>
      <c r="L93" s="8">
        <f t="shared" si="32"/>
        <v>0.1111111111111111</v>
      </c>
    </row>
    <row r="94" spans="1:12" ht="15.5" x14ac:dyDescent="0.35">
      <c r="A94" s="37">
        <f>A93+1</f>
        <v>62</v>
      </c>
      <c r="B94" s="165" t="s">
        <v>1390</v>
      </c>
      <c r="C94" s="12" t="s">
        <v>191</v>
      </c>
      <c r="D94" s="103">
        <v>167</v>
      </c>
      <c r="E94" s="103"/>
      <c r="F94" s="103">
        <f t="shared" si="29"/>
        <v>167</v>
      </c>
      <c r="G94" s="103"/>
      <c r="H94" s="103">
        <f>MROUND((D94*(1+Sheet1!$C$3)),0.1)+3.4</f>
        <v>175.00000000000003</v>
      </c>
      <c r="I94" s="103"/>
      <c r="J94" s="103">
        <f t="shared" si="30"/>
        <v>175.00000000000003</v>
      </c>
      <c r="K94" s="41">
        <f t="shared" si="31"/>
        <v>8.0000000000000284</v>
      </c>
      <c r="L94" s="8">
        <f t="shared" si="32"/>
        <v>4.7904191616766637E-2</v>
      </c>
    </row>
    <row r="95" spans="1:12" ht="15.5" x14ac:dyDescent="0.35">
      <c r="A95" s="37">
        <f>+A94+1</f>
        <v>63</v>
      </c>
      <c r="B95" s="165" t="s">
        <v>1391</v>
      </c>
      <c r="C95" s="12" t="s">
        <v>191</v>
      </c>
      <c r="D95" s="103">
        <v>138</v>
      </c>
      <c r="E95" s="103"/>
      <c r="F95" s="103">
        <f t="shared" si="29"/>
        <v>138</v>
      </c>
      <c r="G95" s="103"/>
      <c r="H95" s="103">
        <f>MROUND((D95*(1+Sheet1!$C$3)),0.1)+3.2</f>
        <v>145</v>
      </c>
      <c r="I95" s="103"/>
      <c r="J95" s="103">
        <f t="shared" si="30"/>
        <v>145</v>
      </c>
      <c r="K95" s="41">
        <f t="shared" si="31"/>
        <v>7</v>
      </c>
      <c r="L95" s="8">
        <f t="shared" si="32"/>
        <v>5.0724637681159424E-2</v>
      </c>
    </row>
    <row r="96" spans="1:12" ht="15.5" x14ac:dyDescent="0.35">
      <c r="A96" s="37">
        <f>+A95+1</f>
        <v>64</v>
      </c>
      <c r="B96" s="165" t="s">
        <v>1392</v>
      </c>
      <c r="C96" s="12" t="s">
        <v>191</v>
      </c>
      <c r="D96" s="103">
        <v>167</v>
      </c>
      <c r="E96" s="103"/>
      <c r="F96" s="103">
        <f t="shared" si="29"/>
        <v>167</v>
      </c>
      <c r="G96" s="103"/>
      <c r="H96" s="103">
        <f>MROUND((D96*(1+Sheet1!$C$3)),0.1)+3.4</f>
        <v>175.00000000000003</v>
      </c>
      <c r="I96" s="103"/>
      <c r="J96" s="103">
        <f t="shared" si="30"/>
        <v>175.00000000000003</v>
      </c>
      <c r="K96" s="41">
        <f t="shared" si="31"/>
        <v>8.0000000000000284</v>
      </c>
      <c r="L96" s="8">
        <f t="shared" si="32"/>
        <v>4.7904191616766637E-2</v>
      </c>
    </row>
    <row r="97" spans="1:12" ht="31" x14ac:dyDescent="0.35">
      <c r="A97" s="37"/>
      <c r="B97" s="132" t="s">
        <v>1393</v>
      </c>
      <c r="C97" s="12"/>
      <c r="D97" s="103"/>
      <c r="E97" s="103"/>
      <c r="F97" s="103"/>
      <c r="G97" s="103"/>
      <c r="H97" s="103"/>
      <c r="I97" s="103"/>
      <c r="J97" s="103"/>
      <c r="K97" s="41"/>
      <c r="L97" s="8"/>
    </row>
    <row r="98" spans="1:12" ht="15.5" x14ac:dyDescent="0.35">
      <c r="A98" s="37">
        <f>+A96+1</f>
        <v>65</v>
      </c>
      <c r="B98" s="165" t="s">
        <v>1382</v>
      </c>
      <c r="C98" s="12" t="s">
        <v>191</v>
      </c>
      <c r="D98" s="103">
        <v>16.5</v>
      </c>
      <c r="E98" s="103"/>
      <c r="F98" s="103">
        <f t="shared" si="29"/>
        <v>16.5</v>
      </c>
      <c r="G98" s="103"/>
      <c r="H98" s="103">
        <f>MROUND((D98*(1+Sheet1!$C$3)),0.1)</f>
        <v>17</v>
      </c>
      <c r="I98" s="103"/>
      <c r="J98" s="103">
        <f t="shared" si="30"/>
        <v>17</v>
      </c>
      <c r="K98" s="41">
        <f t="shared" si="31"/>
        <v>0.5</v>
      </c>
      <c r="L98" s="8">
        <f t="shared" si="32"/>
        <v>3.0303030303030304E-2</v>
      </c>
    </row>
    <row r="99" spans="1:12" ht="15.5" x14ac:dyDescent="0.35">
      <c r="A99" s="37"/>
      <c r="B99" s="165"/>
      <c r="C99" s="12"/>
      <c r="D99" s="103"/>
      <c r="E99" s="103"/>
      <c r="F99" s="103"/>
      <c r="G99" s="103"/>
      <c r="H99" s="103"/>
      <c r="I99" s="103"/>
      <c r="J99" s="103"/>
      <c r="K99" s="41"/>
      <c r="L99" s="8"/>
    </row>
    <row r="100" spans="1:12" ht="18.5" thickBot="1" x14ac:dyDescent="0.4">
      <c r="A100" s="37"/>
      <c r="B100" s="269" t="s">
        <v>1394</v>
      </c>
      <c r="C100" s="12"/>
      <c r="D100" s="103"/>
      <c r="E100" s="103"/>
      <c r="F100" s="103"/>
      <c r="G100" s="103"/>
      <c r="H100" s="103"/>
      <c r="I100" s="103"/>
      <c r="J100" s="103"/>
      <c r="K100" s="41"/>
      <c r="L100" s="8"/>
    </row>
    <row r="101" spans="1:12" ht="16" thickTop="1" x14ac:dyDescent="0.35">
      <c r="A101" s="37">
        <f>A98+1</f>
        <v>66</v>
      </c>
      <c r="B101" s="513" t="s">
        <v>1395</v>
      </c>
      <c r="C101" s="12" t="s">
        <v>12</v>
      </c>
      <c r="D101" s="103">
        <v>116.67</v>
      </c>
      <c r="E101" s="103">
        <f>ROUND(D101*0.2,2)</f>
        <v>23.33</v>
      </c>
      <c r="F101" s="103">
        <f>D101+E101</f>
        <v>140</v>
      </c>
      <c r="G101" s="103"/>
      <c r="H101" s="103">
        <f>MROUND((D101*(1+Sheet1!$C$3)),0.1)+0.1</f>
        <v>120</v>
      </c>
      <c r="I101" s="103">
        <f>ROUND(H101*0.2,2)</f>
        <v>24</v>
      </c>
      <c r="J101" s="103">
        <f>H101+I101</f>
        <v>144</v>
      </c>
      <c r="K101" s="41">
        <f>J101-F101</f>
        <v>4</v>
      </c>
      <c r="L101" s="8">
        <f>IF(F101="","NEW",K101/F101)</f>
        <v>2.8571428571428571E-2</v>
      </c>
    </row>
    <row r="102" spans="1:12" ht="15.5" x14ac:dyDescent="0.35">
      <c r="A102" s="37">
        <f>A101+1</f>
        <v>67</v>
      </c>
      <c r="B102" s="513" t="s">
        <v>1396</v>
      </c>
      <c r="C102" s="12" t="s">
        <v>12</v>
      </c>
      <c r="D102" s="103">
        <v>1320</v>
      </c>
      <c r="E102" s="103"/>
      <c r="F102" s="103">
        <f>D102+E102</f>
        <v>1320</v>
      </c>
      <c r="G102" s="103"/>
      <c r="H102" s="103">
        <f>MROUND((D102*(1+Sheet1!$C$3)),0.1)+3.7</f>
        <v>1360.0000000000002</v>
      </c>
      <c r="I102" s="103"/>
      <c r="J102" s="103">
        <f>H102+I102</f>
        <v>1360.0000000000002</v>
      </c>
      <c r="K102" s="41">
        <f>J102-F102</f>
        <v>40.000000000000227</v>
      </c>
      <c r="L102" s="8">
        <f>IF(F102="","NEW",K102/F102)</f>
        <v>3.0303030303030474E-2</v>
      </c>
    </row>
    <row r="103" spans="1:12" ht="15.5" x14ac:dyDescent="0.35">
      <c r="A103" s="37">
        <f t="shared" ref="A103:A115" si="33">A102+1</f>
        <v>68</v>
      </c>
      <c r="B103" s="513" t="s">
        <v>1397</v>
      </c>
      <c r="C103" s="12" t="s">
        <v>12</v>
      </c>
      <c r="D103" s="103">
        <v>1490</v>
      </c>
      <c r="E103" s="104"/>
      <c r="F103" s="103">
        <f t="shared" ref="F103:F115" si="34">D103+E103</f>
        <v>1490</v>
      </c>
      <c r="G103" s="104"/>
      <c r="H103" s="103">
        <f>MROUND((D103*(1+Sheet1!$C$3)),0.1)+4</f>
        <v>1535</v>
      </c>
      <c r="I103" s="103"/>
      <c r="J103" s="103">
        <f t="shared" ref="J103:J108" si="35">H103+I103</f>
        <v>1535</v>
      </c>
      <c r="K103" s="41">
        <f t="shared" ref="K103:K108" si="36">J103-F103</f>
        <v>45</v>
      </c>
      <c r="L103" s="8">
        <f t="shared" ref="L103:L108" si="37">IF(F103="","NEW",K103/F103)</f>
        <v>3.0201342281879196E-2</v>
      </c>
    </row>
    <row r="104" spans="1:12" ht="15.5" x14ac:dyDescent="0.35">
      <c r="A104" s="37">
        <f t="shared" si="33"/>
        <v>69</v>
      </c>
      <c r="B104" s="514" t="s">
        <v>1398</v>
      </c>
      <c r="C104" s="12" t="s">
        <v>12</v>
      </c>
      <c r="D104" s="103">
        <v>1400</v>
      </c>
      <c r="E104" s="105"/>
      <c r="F104" s="103">
        <f t="shared" si="34"/>
        <v>1400</v>
      </c>
      <c r="G104" s="105"/>
      <c r="H104" s="103">
        <f>MROUND((D104*(1+Sheet1!$C$3)),0.1)+11.5</f>
        <v>1450</v>
      </c>
      <c r="I104" s="103"/>
      <c r="J104" s="103">
        <f t="shared" si="35"/>
        <v>1450</v>
      </c>
      <c r="K104" s="41">
        <f t="shared" si="36"/>
        <v>50</v>
      </c>
      <c r="L104" s="8">
        <f t="shared" si="37"/>
        <v>3.5714285714285712E-2</v>
      </c>
    </row>
    <row r="105" spans="1:12" ht="15.5" x14ac:dyDescent="0.35">
      <c r="A105" s="37">
        <f t="shared" si="33"/>
        <v>70</v>
      </c>
      <c r="B105" s="514" t="s">
        <v>1399</v>
      </c>
      <c r="C105" s="12" t="s">
        <v>12</v>
      </c>
      <c r="D105" s="103">
        <v>1400</v>
      </c>
      <c r="E105" s="105"/>
      <c r="F105" s="103">
        <f t="shared" si="34"/>
        <v>1400</v>
      </c>
      <c r="G105" s="105"/>
      <c r="H105" s="103">
        <f>MROUND((D105*(1+Sheet1!$C$3)),0.1)+11.5</f>
        <v>1450</v>
      </c>
      <c r="I105" s="103"/>
      <c r="J105" s="103">
        <f t="shared" si="35"/>
        <v>1450</v>
      </c>
      <c r="K105" s="41">
        <f t="shared" si="36"/>
        <v>50</v>
      </c>
      <c r="L105" s="8">
        <f t="shared" si="37"/>
        <v>3.5714285714285712E-2</v>
      </c>
    </row>
    <row r="106" spans="1:12" ht="15.5" x14ac:dyDescent="0.35">
      <c r="A106" s="37">
        <f t="shared" si="33"/>
        <v>71</v>
      </c>
      <c r="B106" s="514" t="s">
        <v>1400</v>
      </c>
      <c r="C106" s="12" t="s">
        <v>12</v>
      </c>
      <c r="D106" s="103">
        <v>1400</v>
      </c>
      <c r="E106" s="105"/>
      <c r="F106" s="103">
        <f t="shared" si="34"/>
        <v>1400</v>
      </c>
      <c r="G106" s="105"/>
      <c r="H106" s="103">
        <f>MROUND((D106*(1+Sheet1!$C$3)),0.1)+11.5</f>
        <v>1450</v>
      </c>
      <c r="I106" s="103"/>
      <c r="J106" s="103">
        <f t="shared" si="35"/>
        <v>1450</v>
      </c>
      <c r="K106" s="41">
        <f t="shared" si="36"/>
        <v>50</v>
      </c>
      <c r="L106" s="8">
        <f t="shared" si="37"/>
        <v>3.5714285714285712E-2</v>
      </c>
    </row>
    <row r="107" spans="1:12" ht="15.5" x14ac:dyDescent="0.35">
      <c r="A107" s="37">
        <f t="shared" si="33"/>
        <v>72</v>
      </c>
      <c r="B107" s="514" t="s">
        <v>1401</v>
      </c>
      <c r="C107" s="12" t="s">
        <v>12</v>
      </c>
      <c r="D107" s="103">
        <v>280</v>
      </c>
      <c r="E107" s="105"/>
      <c r="F107" s="103">
        <f t="shared" si="34"/>
        <v>280</v>
      </c>
      <c r="G107" s="105"/>
      <c r="H107" s="103">
        <f>MROUND((D107*(1+Sheet1!$C$3)),0.1)+2.3</f>
        <v>290</v>
      </c>
      <c r="I107" s="103"/>
      <c r="J107" s="103">
        <f t="shared" si="35"/>
        <v>290</v>
      </c>
      <c r="K107" s="41">
        <f t="shared" si="36"/>
        <v>10</v>
      </c>
      <c r="L107" s="8">
        <f t="shared" si="37"/>
        <v>3.5714285714285712E-2</v>
      </c>
    </row>
    <row r="108" spans="1:12" ht="15.5" x14ac:dyDescent="0.35">
      <c r="A108" s="37">
        <f t="shared" si="33"/>
        <v>73</v>
      </c>
      <c r="B108" s="514" t="s">
        <v>1402</v>
      </c>
      <c r="C108" s="12" t="s">
        <v>12</v>
      </c>
      <c r="D108" s="103">
        <v>1100</v>
      </c>
      <c r="E108" s="105"/>
      <c r="F108" s="103">
        <f t="shared" si="34"/>
        <v>1100</v>
      </c>
      <c r="G108" s="105"/>
      <c r="H108" s="103">
        <f>MROUND((D108*(1+Sheet1!$C$3)),0.1)+4.7</f>
        <v>1135</v>
      </c>
      <c r="I108" s="103"/>
      <c r="J108" s="103">
        <f t="shared" si="35"/>
        <v>1135</v>
      </c>
      <c r="K108" s="41">
        <f t="shared" si="36"/>
        <v>35</v>
      </c>
      <c r="L108" s="8">
        <f t="shared" si="37"/>
        <v>3.1818181818181815E-2</v>
      </c>
    </row>
    <row r="109" spans="1:12" ht="15.5" x14ac:dyDescent="0.35">
      <c r="A109" s="37">
        <f t="shared" si="33"/>
        <v>74</v>
      </c>
      <c r="B109" s="514" t="s">
        <v>1403</v>
      </c>
      <c r="C109" s="12" t="s">
        <v>12</v>
      </c>
      <c r="D109" s="103">
        <v>550</v>
      </c>
      <c r="E109" s="105"/>
      <c r="F109" s="103">
        <f t="shared" si="34"/>
        <v>550</v>
      </c>
      <c r="G109" s="105"/>
      <c r="H109" s="103">
        <f>MROUND((D109*(1+Sheet1!$C$3)),0.1)-0.1</f>
        <v>565</v>
      </c>
      <c r="I109" s="103"/>
      <c r="J109" s="103">
        <f t="shared" ref="J109:J115" si="38">H109+I109</f>
        <v>565</v>
      </c>
      <c r="K109" s="41">
        <f t="shared" ref="K109:K115" si="39">J109-F109</f>
        <v>15</v>
      </c>
      <c r="L109" s="8">
        <f t="shared" ref="L109:L115" si="40">IF(F109="","NEW",K109/F109)</f>
        <v>2.7272727272727271E-2</v>
      </c>
    </row>
    <row r="110" spans="1:12" ht="15.5" x14ac:dyDescent="0.35">
      <c r="A110" s="37">
        <f t="shared" si="33"/>
        <v>75</v>
      </c>
      <c r="B110" s="514" t="s">
        <v>1404</v>
      </c>
      <c r="C110" s="12" t="s">
        <v>12</v>
      </c>
      <c r="D110" s="103">
        <v>330</v>
      </c>
      <c r="E110" s="105"/>
      <c r="F110" s="103">
        <f t="shared" si="34"/>
        <v>330</v>
      </c>
      <c r="G110" s="105"/>
      <c r="H110" s="103">
        <f>MROUND((D110*(1+Sheet1!$C$3)),0.1)+0.9</f>
        <v>340</v>
      </c>
      <c r="I110" s="103"/>
      <c r="J110" s="103">
        <f t="shared" si="38"/>
        <v>340</v>
      </c>
      <c r="K110" s="41">
        <f t="shared" si="39"/>
        <v>10</v>
      </c>
      <c r="L110" s="8">
        <f t="shared" si="40"/>
        <v>3.0303030303030304E-2</v>
      </c>
    </row>
    <row r="111" spans="1:12" ht="15.5" x14ac:dyDescent="0.35">
      <c r="A111" s="37">
        <f t="shared" si="33"/>
        <v>76</v>
      </c>
      <c r="B111" s="514" t="s">
        <v>1405</v>
      </c>
      <c r="C111" s="12" t="s">
        <v>12</v>
      </c>
      <c r="D111" s="103">
        <v>82.5</v>
      </c>
      <c r="E111" s="105"/>
      <c r="F111" s="103">
        <f t="shared" si="34"/>
        <v>82.5</v>
      </c>
      <c r="G111" s="105"/>
      <c r="H111" s="103">
        <f>MROUND((D111*(1+Sheet1!$C$3)),0.1)+0.2</f>
        <v>85.000000000000014</v>
      </c>
      <c r="I111" s="103"/>
      <c r="J111" s="103">
        <f t="shared" si="38"/>
        <v>85.000000000000014</v>
      </c>
      <c r="K111" s="41">
        <f t="shared" si="39"/>
        <v>2.5000000000000142</v>
      </c>
      <c r="L111" s="8">
        <f t="shared" si="40"/>
        <v>3.0303030303030474E-2</v>
      </c>
    </row>
    <row r="112" spans="1:12" ht="31" x14ac:dyDescent="0.35">
      <c r="A112" s="37">
        <f t="shared" si="33"/>
        <v>77</v>
      </c>
      <c r="B112" s="515" t="s">
        <v>1406</v>
      </c>
      <c r="C112" s="12" t="s">
        <v>12</v>
      </c>
      <c r="D112" s="103">
        <v>412.5</v>
      </c>
      <c r="E112" s="105"/>
      <c r="F112" s="103">
        <f t="shared" si="34"/>
        <v>412.5</v>
      </c>
      <c r="G112" s="105"/>
      <c r="H112" s="103">
        <f>MROUND((D112*(1+Sheet1!$C$3)),0.1)+1.2</f>
        <v>425</v>
      </c>
      <c r="I112" s="103"/>
      <c r="J112" s="103">
        <f t="shared" si="38"/>
        <v>425</v>
      </c>
      <c r="K112" s="41">
        <f t="shared" si="39"/>
        <v>12.5</v>
      </c>
      <c r="L112" s="8">
        <f t="shared" si="40"/>
        <v>3.0303030303030304E-2</v>
      </c>
    </row>
    <row r="113" spans="1:12" ht="31" x14ac:dyDescent="0.35">
      <c r="A113" s="37">
        <f t="shared" si="33"/>
        <v>78</v>
      </c>
      <c r="B113" s="515" t="s">
        <v>1407</v>
      </c>
      <c r="C113" s="12" t="s">
        <v>12</v>
      </c>
      <c r="D113" s="103">
        <v>308</v>
      </c>
      <c r="E113" s="105"/>
      <c r="F113" s="103">
        <f t="shared" si="34"/>
        <v>308</v>
      </c>
      <c r="G113" s="105"/>
      <c r="H113" s="103">
        <f>MROUND((D113*(1+Sheet1!$C$3)),0.1)+3.5</f>
        <v>320</v>
      </c>
      <c r="I113" s="103"/>
      <c r="J113" s="103">
        <f t="shared" si="38"/>
        <v>320</v>
      </c>
      <c r="K113" s="41">
        <f t="shared" si="39"/>
        <v>12</v>
      </c>
      <c r="L113" s="8">
        <f t="shared" si="40"/>
        <v>3.896103896103896E-2</v>
      </c>
    </row>
    <row r="114" spans="1:12" ht="31" x14ac:dyDescent="0.35">
      <c r="A114" s="37">
        <f t="shared" si="33"/>
        <v>79</v>
      </c>
      <c r="B114" s="515" t="s">
        <v>1408</v>
      </c>
      <c r="C114" s="12" t="s">
        <v>12</v>
      </c>
      <c r="D114" s="103">
        <v>55</v>
      </c>
      <c r="E114" s="105"/>
      <c r="F114" s="103">
        <f t="shared" si="34"/>
        <v>55</v>
      </c>
      <c r="G114" s="105"/>
      <c r="H114" s="103">
        <f>MROUND((D114*(1+Sheet1!$C$3)),0.1)+3.5</f>
        <v>60</v>
      </c>
      <c r="I114" s="103"/>
      <c r="J114" s="103">
        <f t="shared" si="38"/>
        <v>60</v>
      </c>
      <c r="K114" s="41">
        <f t="shared" si="39"/>
        <v>5</v>
      </c>
      <c r="L114" s="8">
        <f t="shared" si="40"/>
        <v>9.0909090909090912E-2</v>
      </c>
    </row>
    <row r="115" spans="1:12" ht="15.5" x14ac:dyDescent="0.35">
      <c r="A115" s="37">
        <f t="shared" si="33"/>
        <v>80</v>
      </c>
      <c r="B115" s="516" t="s">
        <v>1409</v>
      </c>
      <c r="C115" s="12" t="s">
        <v>12</v>
      </c>
      <c r="D115" s="103">
        <v>440</v>
      </c>
      <c r="E115" s="105"/>
      <c r="F115" s="103">
        <f t="shared" si="34"/>
        <v>440</v>
      </c>
      <c r="G115" s="105"/>
      <c r="H115" s="103">
        <f>MROUND((D115*(1+Sheet1!$C$3)),0.1)+2.9</f>
        <v>455</v>
      </c>
      <c r="I115" s="103"/>
      <c r="J115" s="103">
        <f t="shared" si="38"/>
        <v>455</v>
      </c>
      <c r="K115" s="41">
        <f t="shared" si="39"/>
        <v>15</v>
      </c>
      <c r="L115" s="8">
        <f t="shared" si="40"/>
        <v>3.4090909090909088E-2</v>
      </c>
    </row>
    <row r="116" spans="1:12" ht="15.5" x14ac:dyDescent="0.35">
      <c r="A116" s="37"/>
      <c r="B116" s="516"/>
      <c r="C116" s="12"/>
      <c r="D116" s="103"/>
      <c r="E116" s="105"/>
      <c r="F116" s="103"/>
      <c r="G116" s="105"/>
      <c r="H116" s="103"/>
      <c r="I116" s="103"/>
      <c r="J116" s="103"/>
      <c r="K116" s="41"/>
      <c r="L116" s="8"/>
    </row>
    <row r="117" spans="1:12" ht="15.5" x14ac:dyDescent="0.35">
      <c r="A117" s="37"/>
      <c r="B117" s="516"/>
      <c r="C117" s="12"/>
      <c r="D117" s="103"/>
      <c r="E117" s="105"/>
      <c r="F117" s="103"/>
      <c r="G117" s="105"/>
      <c r="H117" s="103"/>
      <c r="I117" s="103"/>
      <c r="J117" s="103"/>
      <c r="K117" s="41"/>
      <c r="L117" s="8"/>
    </row>
    <row r="118" spans="1:12" ht="15.5" x14ac:dyDescent="0.35">
      <c r="A118" s="37"/>
      <c r="B118" s="86"/>
      <c r="C118" s="12"/>
      <c r="D118" s="103"/>
      <c r="E118" s="103"/>
      <c r="F118" s="103"/>
      <c r="G118" s="103"/>
      <c r="H118" s="103"/>
      <c r="I118" s="103"/>
      <c r="J118" s="103"/>
      <c r="K118" s="41"/>
      <c r="L118" s="8"/>
    </row>
    <row r="119" spans="1:12" ht="15" customHeight="1" thickBot="1" x14ac:dyDescent="0.4">
      <c r="A119" s="101"/>
      <c r="B119" s="269" t="s">
        <v>1410</v>
      </c>
      <c r="C119" s="12"/>
      <c r="D119" s="105"/>
      <c r="E119" s="105"/>
      <c r="F119" s="105"/>
      <c r="G119" s="105"/>
      <c r="H119" s="103"/>
      <c r="I119" s="103"/>
      <c r="J119" s="103"/>
      <c r="K119" s="41"/>
      <c r="L119" s="8"/>
    </row>
    <row r="120" spans="1:12" ht="15" customHeight="1" thickTop="1" x14ac:dyDescent="0.35">
      <c r="A120" s="136">
        <f>A115+1</f>
        <v>81</v>
      </c>
      <c r="B120" s="86" t="s">
        <v>1411</v>
      </c>
      <c r="C120" s="12" t="s">
        <v>191</v>
      </c>
      <c r="D120" s="103">
        <v>575</v>
      </c>
      <c r="E120" s="105"/>
      <c r="F120" s="103">
        <f t="shared" ref="F120:F129" si="41">D120+E120</f>
        <v>575</v>
      </c>
      <c r="G120" s="105"/>
      <c r="H120" s="103">
        <f>MROUND((D120*(1+Sheet1!$C$3)),0.1)+34.2</f>
        <v>625.00000000000011</v>
      </c>
      <c r="I120" s="103"/>
      <c r="J120" s="103">
        <f t="shared" ref="J120:J129" si="42">H120+I120</f>
        <v>625.00000000000011</v>
      </c>
      <c r="K120" s="41">
        <f t="shared" ref="K120:K129" si="43">J120-F120</f>
        <v>50.000000000000114</v>
      </c>
      <c r="L120" s="8">
        <f t="shared" ref="L120:L129" si="44">IF(F120="","NEW",K120/F120)</f>
        <v>8.6956521739130627E-2</v>
      </c>
    </row>
    <row r="121" spans="1:12" ht="15" customHeight="1" x14ac:dyDescent="0.35">
      <c r="A121" s="136">
        <f t="shared" ref="A121:A129" si="45">A120+1</f>
        <v>82</v>
      </c>
      <c r="B121" s="86" t="s">
        <v>1412</v>
      </c>
      <c r="C121" s="12" t="s">
        <v>191</v>
      </c>
      <c r="D121" s="103">
        <v>453</v>
      </c>
      <c r="E121" s="105"/>
      <c r="F121" s="103">
        <f t="shared" si="41"/>
        <v>453</v>
      </c>
      <c r="G121" s="105"/>
      <c r="H121" s="103">
        <f>MROUND((D121*(1+Sheet1!$C$3)),0.1)+34.5</f>
        <v>500</v>
      </c>
      <c r="I121" s="103"/>
      <c r="J121" s="103">
        <f t="shared" si="42"/>
        <v>500</v>
      </c>
      <c r="K121" s="41">
        <f t="shared" si="43"/>
        <v>47</v>
      </c>
      <c r="L121" s="8">
        <f t="shared" si="44"/>
        <v>0.10375275938189846</v>
      </c>
    </row>
    <row r="122" spans="1:12" ht="15" customHeight="1" x14ac:dyDescent="0.35">
      <c r="A122" s="136">
        <f t="shared" si="45"/>
        <v>83</v>
      </c>
      <c r="B122" s="86" t="s">
        <v>1413</v>
      </c>
      <c r="C122" s="12" t="s">
        <v>191</v>
      </c>
      <c r="D122" s="103">
        <v>198.5</v>
      </c>
      <c r="E122" s="105"/>
      <c r="F122" s="103">
        <f t="shared" si="41"/>
        <v>198.5</v>
      </c>
      <c r="G122" s="105"/>
      <c r="H122" s="103">
        <f>MROUND((D122*(1+Sheet1!$C$3)),0.1)+21</f>
        <v>225</v>
      </c>
      <c r="I122" s="103"/>
      <c r="J122" s="103">
        <f t="shared" si="42"/>
        <v>225</v>
      </c>
      <c r="K122" s="41">
        <f t="shared" si="43"/>
        <v>26.5</v>
      </c>
      <c r="L122" s="8">
        <f t="shared" si="44"/>
        <v>0.13350125944584382</v>
      </c>
    </row>
    <row r="123" spans="1:12" ht="15" customHeight="1" x14ac:dyDescent="0.35">
      <c r="A123" s="136">
        <f t="shared" si="45"/>
        <v>84</v>
      </c>
      <c r="B123" s="86" t="s">
        <v>1414</v>
      </c>
      <c r="C123" s="12" t="s">
        <v>191</v>
      </c>
      <c r="D123" s="103">
        <v>105.5</v>
      </c>
      <c r="E123" s="105"/>
      <c r="F123" s="103">
        <f t="shared" si="41"/>
        <v>105.5</v>
      </c>
      <c r="G123" s="105"/>
      <c r="H123" s="103">
        <f>MROUND((D123*(1+Sheet1!$C$3)),0.1)+6.6</f>
        <v>115</v>
      </c>
      <c r="I123" s="103"/>
      <c r="J123" s="103">
        <f t="shared" si="42"/>
        <v>115</v>
      </c>
      <c r="K123" s="41">
        <f t="shared" si="43"/>
        <v>9.5</v>
      </c>
      <c r="L123" s="8">
        <f t="shared" si="44"/>
        <v>9.004739336492891E-2</v>
      </c>
    </row>
    <row r="124" spans="1:12" ht="15" customHeight="1" x14ac:dyDescent="0.35">
      <c r="A124" s="136">
        <f t="shared" si="45"/>
        <v>85</v>
      </c>
      <c r="B124" s="86" t="s">
        <v>1415</v>
      </c>
      <c r="C124" s="12" t="s">
        <v>191</v>
      </c>
      <c r="D124" s="103">
        <v>403</v>
      </c>
      <c r="E124" s="105"/>
      <c r="F124" s="103">
        <f t="shared" si="41"/>
        <v>403</v>
      </c>
      <c r="G124" s="105"/>
      <c r="H124" s="103">
        <f>MROUND((D124*(1+Sheet1!$C$3)),0.1)+10.9</f>
        <v>425</v>
      </c>
      <c r="I124" s="103"/>
      <c r="J124" s="103">
        <f t="shared" si="42"/>
        <v>425</v>
      </c>
      <c r="K124" s="41">
        <f t="shared" si="43"/>
        <v>22</v>
      </c>
      <c r="L124" s="8">
        <f t="shared" si="44"/>
        <v>5.4590570719602979E-2</v>
      </c>
    </row>
    <row r="125" spans="1:12" ht="15" customHeight="1" x14ac:dyDescent="0.35">
      <c r="A125" s="136">
        <f t="shared" si="45"/>
        <v>86</v>
      </c>
      <c r="B125" s="86" t="s">
        <v>1416</v>
      </c>
      <c r="C125" s="12" t="s">
        <v>191</v>
      </c>
      <c r="D125" s="103">
        <v>302.5</v>
      </c>
      <c r="E125" s="105"/>
      <c r="F125" s="103">
        <f t="shared" si="41"/>
        <v>302.5</v>
      </c>
      <c r="G125" s="105"/>
      <c r="H125" s="103">
        <f>MROUND((D125*(1+Sheet1!$C$3)),0.1)+14.2</f>
        <v>325</v>
      </c>
      <c r="I125" s="103"/>
      <c r="J125" s="103">
        <f t="shared" si="42"/>
        <v>325</v>
      </c>
      <c r="K125" s="41">
        <f t="shared" si="43"/>
        <v>22.5</v>
      </c>
      <c r="L125" s="8">
        <f t="shared" si="44"/>
        <v>7.43801652892562E-2</v>
      </c>
    </row>
    <row r="126" spans="1:12" ht="15" customHeight="1" x14ac:dyDescent="0.35">
      <c r="A126" s="136">
        <f t="shared" si="45"/>
        <v>87</v>
      </c>
      <c r="B126" s="86" t="s">
        <v>1417</v>
      </c>
      <c r="C126" s="12" t="s">
        <v>191</v>
      </c>
      <c r="D126" s="103">
        <v>156</v>
      </c>
      <c r="E126" s="105"/>
      <c r="F126" s="103">
        <f t="shared" si="41"/>
        <v>156</v>
      </c>
      <c r="G126" s="105"/>
      <c r="H126" s="103">
        <f>MROUND((D126*(1+Sheet1!$C$3)),0.1)+4.7</f>
        <v>165</v>
      </c>
      <c r="I126" s="103"/>
      <c r="J126" s="103">
        <f t="shared" si="42"/>
        <v>165</v>
      </c>
      <c r="K126" s="41">
        <f t="shared" si="43"/>
        <v>9</v>
      </c>
      <c r="L126" s="8">
        <f t="shared" si="44"/>
        <v>5.7692307692307696E-2</v>
      </c>
    </row>
    <row r="127" spans="1:12" ht="15" customHeight="1" x14ac:dyDescent="0.35">
      <c r="A127" s="136">
        <f t="shared" si="45"/>
        <v>88</v>
      </c>
      <c r="B127" s="86" t="s">
        <v>1418</v>
      </c>
      <c r="C127" s="12" t="s">
        <v>191</v>
      </c>
      <c r="D127" s="103">
        <v>36.5</v>
      </c>
      <c r="E127" s="105"/>
      <c r="F127" s="103">
        <f t="shared" si="41"/>
        <v>36.5</v>
      </c>
      <c r="G127" s="105"/>
      <c r="H127" s="103">
        <f>MROUND((D127*(1+Sheet1!$C$3)),0.1)+2.5</f>
        <v>40</v>
      </c>
      <c r="I127" s="103"/>
      <c r="J127" s="103">
        <f t="shared" si="42"/>
        <v>40</v>
      </c>
      <c r="K127" s="41">
        <f t="shared" si="43"/>
        <v>3.5</v>
      </c>
      <c r="L127" s="8">
        <f t="shared" si="44"/>
        <v>9.5890410958904104E-2</v>
      </c>
    </row>
    <row r="128" spans="1:12" ht="15" customHeight="1" x14ac:dyDescent="0.35">
      <c r="A128" s="136">
        <f t="shared" si="45"/>
        <v>89</v>
      </c>
      <c r="B128" s="86" t="s">
        <v>1419</v>
      </c>
      <c r="C128" s="12" t="s">
        <v>191</v>
      </c>
      <c r="D128" s="103">
        <v>36.5</v>
      </c>
      <c r="E128" s="105"/>
      <c r="F128" s="103">
        <f t="shared" si="41"/>
        <v>36.5</v>
      </c>
      <c r="G128" s="105"/>
      <c r="H128" s="103">
        <f>MROUND((D128*(1+Sheet1!$C$3)),0.1)+2.5</f>
        <v>40</v>
      </c>
      <c r="I128" s="103"/>
      <c r="J128" s="103">
        <f t="shared" si="42"/>
        <v>40</v>
      </c>
      <c r="K128" s="41">
        <f t="shared" si="43"/>
        <v>3.5</v>
      </c>
      <c r="L128" s="8">
        <f t="shared" si="44"/>
        <v>9.5890410958904104E-2</v>
      </c>
    </row>
    <row r="129" spans="1:12" ht="15" customHeight="1" x14ac:dyDescent="0.35">
      <c r="A129" s="136">
        <f t="shared" si="45"/>
        <v>90</v>
      </c>
      <c r="B129" s="86" t="s">
        <v>1420</v>
      </c>
      <c r="C129" s="12" t="s">
        <v>191</v>
      </c>
      <c r="D129" s="103">
        <v>48.5</v>
      </c>
      <c r="E129" s="105"/>
      <c r="F129" s="103">
        <f t="shared" si="41"/>
        <v>48.5</v>
      </c>
      <c r="G129" s="105"/>
      <c r="H129" s="103">
        <f>MROUND((D129*(1+Sheet1!$C$3)),0.1)+0.2</f>
        <v>50.000000000000007</v>
      </c>
      <c r="I129" s="103"/>
      <c r="J129" s="103">
        <f t="shared" si="42"/>
        <v>50.000000000000007</v>
      </c>
      <c r="K129" s="41">
        <f t="shared" si="43"/>
        <v>1.5000000000000071</v>
      </c>
      <c r="L129" s="8">
        <f t="shared" si="44"/>
        <v>3.0927835051546539E-2</v>
      </c>
    </row>
    <row r="130" spans="1:12" ht="15" customHeight="1" x14ac:dyDescent="0.35">
      <c r="A130" s="136"/>
      <c r="B130" s="86"/>
      <c r="C130" s="12"/>
      <c r="D130" s="103"/>
      <c r="E130" s="105"/>
      <c r="F130" s="103"/>
      <c r="G130" s="105"/>
      <c r="H130" s="103"/>
      <c r="I130" s="103"/>
      <c r="J130" s="103"/>
      <c r="K130" s="41"/>
      <c r="L130" s="8"/>
    </row>
    <row r="131" spans="1:12" ht="15" customHeight="1" thickBot="1" x14ac:dyDescent="0.4">
      <c r="A131" s="136"/>
      <c r="B131" s="269" t="s">
        <v>1421</v>
      </c>
      <c r="C131" s="12"/>
      <c r="D131" s="103"/>
      <c r="E131" s="104"/>
      <c r="F131" s="251"/>
      <c r="G131" s="105"/>
      <c r="H131" s="103"/>
      <c r="I131" s="103"/>
      <c r="J131" s="103"/>
      <c r="K131" s="41"/>
      <c r="L131" s="8"/>
    </row>
    <row r="132" spans="1:12" ht="15" customHeight="1" thickTop="1" x14ac:dyDescent="0.35">
      <c r="A132" s="136">
        <f>A129+1</f>
        <v>91</v>
      </c>
      <c r="B132" s="86" t="s">
        <v>1514</v>
      </c>
      <c r="C132" s="12" t="s">
        <v>19</v>
      </c>
      <c r="D132" s="103"/>
      <c r="E132" s="105"/>
      <c r="F132" s="103"/>
      <c r="G132" s="105"/>
      <c r="H132" s="103">
        <v>500</v>
      </c>
      <c r="I132" s="103"/>
      <c r="J132" s="103">
        <f t="shared" ref="J132:J135" si="46">H132+I132</f>
        <v>500</v>
      </c>
      <c r="K132" s="41"/>
      <c r="L132" s="8" t="str">
        <f t="shared" ref="L132:L135" si="47">IF(F132="","NEW",K132/F132)</f>
        <v>NEW</v>
      </c>
    </row>
    <row r="133" spans="1:12" ht="15" customHeight="1" x14ac:dyDescent="0.35">
      <c r="A133" s="136">
        <f t="shared" ref="A133:A135" si="48">A132+1</f>
        <v>92</v>
      </c>
      <c r="B133" s="86" t="s">
        <v>1515</v>
      </c>
      <c r="C133" s="12" t="s">
        <v>19</v>
      </c>
      <c r="D133" s="103"/>
      <c r="E133" s="105"/>
      <c r="F133" s="103"/>
      <c r="G133" s="105"/>
      <c r="H133" s="103">
        <v>350</v>
      </c>
      <c r="I133" s="103"/>
      <c r="J133" s="103">
        <f t="shared" si="46"/>
        <v>350</v>
      </c>
      <c r="K133" s="41"/>
      <c r="L133" s="8" t="str">
        <f t="shared" si="47"/>
        <v>NEW</v>
      </c>
    </row>
    <row r="134" spans="1:12" ht="15" customHeight="1" x14ac:dyDescent="0.35">
      <c r="A134" s="136">
        <f t="shared" si="48"/>
        <v>93</v>
      </c>
      <c r="B134" s="86" t="s">
        <v>1516</v>
      </c>
      <c r="C134" s="12" t="s">
        <v>19</v>
      </c>
      <c r="D134" s="103"/>
      <c r="E134" s="105"/>
      <c r="F134" s="103"/>
      <c r="G134" s="105"/>
      <c r="H134" s="103">
        <v>350</v>
      </c>
      <c r="I134" s="103"/>
      <c r="J134" s="103">
        <f t="shared" si="46"/>
        <v>350</v>
      </c>
      <c r="K134" s="41"/>
      <c r="L134" s="8" t="str">
        <f t="shared" si="47"/>
        <v>NEW</v>
      </c>
    </row>
    <row r="135" spans="1:12" ht="15" customHeight="1" x14ac:dyDescent="0.35">
      <c r="A135" s="136">
        <f t="shared" si="48"/>
        <v>94</v>
      </c>
      <c r="B135" s="86" t="s">
        <v>1517</v>
      </c>
      <c r="C135" s="12" t="s">
        <v>19</v>
      </c>
      <c r="D135" s="103"/>
      <c r="E135" s="105"/>
      <c r="F135" s="103"/>
      <c r="G135" s="105"/>
      <c r="H135" s="103">
        <v>275</v>
      </c>
      <c r="I135" s="103"/>
      <c r="J135" s="103">
        <f t="shared" si="46"/>
        <v>275</v>
      </c>
      <c r="K135" s="41"/>
      <c r="L135" s="8" t="str">
        <f t="shared" si="47"/>
        <v>NEW</v>
      </c>
    </row>
    <row r="136" spans="1:12" ht="15" customHeight="1" x14ac:dyDescent="0.35">
      <c r="A136" s="136"/>
      <c r="B136" s="86"/>
      <c r="C136" s="12"/>
      <c r="D136" s="103"/>
      <c r="E136" s="105"/>
      <c r="F136" s="103"/>
      <c r="G136" s="105"/>
      <c r="H136" s="103"/>
      <c r="I136" s="103"/>
      <c r="J136" s="103"/>
      <c r="K136" s="41"/>
      <c r="L136" s="8"/>
    </row>
    <row r="137" spans="1:12" ht="15" customHeight="1" thickBot="1" x14ac:dyDescent="0.4">
      <c r="A137" s="136"/>
      <c r="B137" s="269" t="s">
        <v>1422</v>
      </c>
      <c r="C137" s="12"/>
      <c r="D137" s="103"/>
      <c r="E137" s="105"/>
      <c r="F137" s="103"/>
      <c r="G137" s="105"/>
      <c r="H137" s="103"/>
      <c r="I137" s="103"/>
      <c r="J137" s="103"/>
      <c r="K137" s="41"/>
      <c r="L137" s="8"/>
    </row>
    <row r="138" spans="1:12" ht="15" customHeight="1" thickTop="1" x14ac:dyDescent="0.35">
      <c r="A138" s="136">
        <f>A135+1</f>
        <v>95</v>
      </c>
      <c r="B138" s="86" t="s">
        <v>1423</v>
      </c>
      <c r="C138" s="12" t="s">
        <v>12</v>
      </c>
      <c r="D138" s="103">
        <v>624</v>
      </c>
      <c r="E138" s="105"/>
      <c r="F138" s="103">
        <f>D138+E138</f>
        <v>624</v>
      </c>
      <c r="G138" s="105"/>
      <c r="H138" s="103">
        <f>MROUND((D138*(1+Sheet1!$C$3)),0.1)+8.8</f>
        <v>650</v>
      </c>
      <c r="I138" s="103"/>
      <c r="J138" s="103">
        <f>H138+I138</f>
        <v>650</v>
      </c>
      <c r="K138" s="41">
        <f>J138-F138</f>
        <v>26</v>
      </c>
      <c r="L138" s="8">
        <f>IF(F138="","NEW",K138/F138)</f>
        <v>4.1666666666666664E-2</v>
      </c>
    </row>
    <row r="139" spans="1:12" ht="15" customHeight="1" x14ac:dyDescent="0.35">
      <c r="A139" s="136">
        <f>A138+1</f>
        <v>96</v>
      </c>
      <c r="B139" s="86" t="s">
        <v>1424</v>
      </c>
      <c r="C139" s="12" t="s">
        <v>12</v>
      </c>
      <c r="D139" s="103">
        <v>400</v>
      </c>
      <c r="E139" s="105"/>
      <c r="F139" s="103">
        <f>D139+E139</f>
        <v>400</v>
      </c>
      <c r="G139" s="105"/>
      <c r="H139" s="103">
        <f>MROUND((D139*(1+Sheet1!$C$3)),0.1)+14</f>
        <v>425</v>
      </c>
      <c r="I139" s="103"/>
      <c r="J139" s="103">
        <f>H139+I139</f>
        <v>425</v>
      </c>
      <c r="K139" s="41">
        <f>J139-F139</f>
        <v>25</v>
      </c>
      <c r="L139" s="8">
        <f>IF(F139="","NEW",K139/F139)</f>
        <v>6.25E-2</v>
      </c>
    </row>
    <row r="140" spans="1:12" ht="15" customHeight="1" x14ac:dyDescent="0.35">
      <c r="A140" s="136">
        <f>A139+1</f>
        <v>97</v>
      </c>
      <c r="B140" s="86" t="s">
        <v>1425</v>
      </c>
      <c r="C140" s="12" t="s">
        <v>12</v>
      </c>
      <c r="D140" s="103">
        <v>229</v>
      </c>
      <c r="E140" s="105"/>
      <c r="F140" s="103">
        <f>D140+E140</f>
        <v>229</v>
      </c>
      <c r="G140" s="105"/>
      <c r="H140" s="103">
        <f>MROUND((D140*(1+Sheet1!$C$3)),0.1)+14.7</f>
        <v>250</v>
      </c>
      <c r="I140" s="103"/>
      <c r="J140" s="103">
        <f>H140+I140</f>
        <v>250</v>
      </c>
      <c r="K140" s="41">
        <f>J140-F140</f>
        <v>21</v>
      </c>
      <c r="L140" s="8">
        <f>IF(F140="","NEW",K140/F140)</f>
        <v>9.1703056768558958E-2</v>
      </c>
    </row>
  </sheetData>
  <mergeCells count="6">
    <mergeCell ref="A1:B1"/>
    <mergeCell ref="K1:L1"/>
    <mergeCell ref="D16:J16"/>
    <mergeCell ref="H31:L31"/>
    <mergeCell ref="H37:L37"/>
    <mergeCell ref="H20:J20"/>
  </mergeCells>
  <conditionalFormatting sqref="L5:L30 L79:L140">
    <cfRule type="cellIs" dxfId="6" priority="78" operator="equal">
      <formula>"NEW"</formula>
    </cfRule>
  </conditionalFormatting>
  <conditionalFormatting sqref="L32:L36 L38:L45 L48:L76">
    <cfRule type="cellIs" dxfId="5" priority="82" operator="equal">
      <formula>"NEW"</formula>
    </cfRule>
  </conditionalFormatting>
  <dataValidations count="1">
    <dataValidation type="list" allowBlank="1" showInputMessage="1" showErrorMessage="1" sqref="C4:C140" xr:uid="{4728CF34-8524-4D89-BD53-8B7D4A669F4A}">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rowBreaks count="3" manualBreakCount="3">
    <brk id="36" max="11" man="1"/>
    <brk id="77" max="13" man="1"/>
    <brk id="117" max="1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9AC9-8E3C-48C2-BD22-5146BEF7C270}">
  <dimension ref="A1:L29"/>
  <sheetViews>
    <sheetView zoomScaleNormal="100" zoomScaleSheetLayoutView="70" workbookViewId="0">
      <selection sqref="A1:B1"/>
    </sheetView>
  </sheetViews>
  <sheetFormatPr defaultColWidth="9.1796875" defaultRowHeight="15.5" x14ac:dyDescent="0.35"/>
  <cols>
    <col min="1" max="1" width="5.7265625" style="126" customWidth="1"/>
    <col min="2" max="2" width="85.1796875" style="126" bestFit="1" customWidth="1"/>
    <col min="3" max="3" width="24.453125" style="126" customWidth="1"/>
    <col min="4" max="4" width="16" style="234" customWidth="1"/>
    <col min="5" max="5" width="10.54296875" style="234" customWidth="1"/>
    <col min="6" max="6" width="16.1796875" style="234" customWidth="1"/>
    <col min="7" max="7" width="3.453125" style="234" customWidth="1"/>
    <col min="8" max="8" width="16.26953125" style="234" customWidth="1"/>
    <col min="9" max="9" width="10.54296875" style="234" customWidth="1"/>
    <col min="10" max="10" width="16.26953125" style="234" customWidth="1"/>
    <col min="11" max="11" width="12.26953125" style="126" customWidth="1"/>
    <col min="12" max="12" width="11.453125" style="235" bestFit="1" customWidth="1"/>
    <col min="13" max="13" width="24.7265625" style="126" bestFit="1" customWidth="1"/>
    <col min="14" max="16384" width="9.1796875" style="126"/>
  </cols>
  <sheetData>
    <row r="1" spans="1:12" s="119" customFormat="1" ht="76.5" thickBot="1" x14ac:dyDescent="0.45">
      <c r="A1" s="530" t="s">
        <v>1</v>
      </c>
      <c r="B1" s="530"/>
      <c r="C1" s="26" t="s">
        <v>2</v>
      </c>
      <c r="D1" s="26" t="s">
        <v>3</v>
      </c>
      <c r="E1" s="26" t="s">
        <v>4</v>
      </c>
      <c r="F1" s="26" t="s">
        <v>5</v>
      </c>
      <c r="G1" s="26"/>
      <c r="H1" s="26" t="s">
        <v>6</v>
      </c>
      <c r="I1" s="26" t="s">
        <v>4</v>
      </c>
      <c r="J1" s="26" t="s">
        <v>7</v>
      </c>
      <c r="K1" s="529" t="s">
        <v>8</v>
      </c>
      <c r="L1" s="529"/>
    </row>
    <row r="2" spans="1:12" s="61" customFormat="1" ht="16" thickTop="1" x14ac:dyDescent="0.35">
      <c r="A2" s="59"/>
      <c r="B2" s="330"/>
      <c r="C2" s="39"/>
      <c r="D2" s="33" t="s">
        <v>9</v>
      </c>
      <c r="E2" s="33" t="s">
        <v>9</v>
      </c>
      <c r="F2" s="33" t="s">
        <v>9</v>
      </c>
      <c r="G2" s="81"/>
      <c r="H2" s="33" t="s">
        <v>9</v>
      </c>
      <c r="I2" s="33" t="s">
        <v>9</v>
      </c>
      <c r="J2" s="33" t="s">
        <v>9</v>
      </c>
      <c r="K2" s="21" t="s">
        <v>9</v>
      </c>
      <c r="L2" s="20" t="s">
        <v>10</v>
      </c>
    </row>
    <row r="3" spans="1:12" ht="18.5" thickBot="1" x14ac:dyDescent="0.4">
      <c r="A3" s="67"/>
      <c r="B3" s="269" t="s">
        <v>1289</v>
      </c>
      <c r="C3" s="16"/>
      <c r="D3" s="103"/>
      <c r="E3" s="103"/>
      <c r="F3" s="103"/>
      <c r="G3" s="103"/>
      <c r="H3" s="103"/>
      <c r="I3" s="103"/>
      <c r="J3" s="103"/>
      <c r="K3" s="9"/>
      <c r="L3" s="8"/>
    </row>
    <row r="4" spans="1:12" ht="16" thickTop="1" x14ac:dyDescent="0.35">
      <c r="A4" s="67"/>
      <c r="B4" s="70" t="s">
        <v>1290</v>
      </c>
      <c r="C4" s="16"/>
      <c r="E4" s="103"/>
      <c r="G4" s="103"/>
      <c r="I4" s="103"/>
    </row>
    <row r="5" spans="1:12" x14ac:dyDescent="0.35">
      <c r="A5" s="67">
        <v>1</v>
      </c>
      <c r="B5" s="70" t="s">
        <v>1291</v>
      </c>
      <c r="C5" s="16" t="s">
        <v>12</v>
      </c>
      <c r="D5" s="103">
        <v>365</v>
      </c>
      <c r="E5" s="103"/>
      <c r="F5" s="103">
        <f>D5-E4</f>
        <v>365</v>
      </c>
      <c r="G5" s="103"/>
      <c r="H5" s="103">
        <f>MROUND((D5*(1+Sheet1!$C$3)),0.1)</f>
        <v>375</v>
      </c>
      <c r="I5" s="103"/>
      <c r="J5" s="103">
        <f>H5+I4</f>
        <v>375</v>
      </c>
      <c r="K5" s="9">
        <f>J5-F5</f>
        <v>10</v>
      </c>
      <c r="L5" s="8">
        <f>IF(F5="","NEW",K5/F5)</f>
        <v>2.7397260273972601E-2</v>
      </c>
    </row>
    <row r="6" spans="1:12" x14ac:dyDescent="0.35">
      <c r="A6" s="67">
        <f>+A5+1</f>
        <v>2</v>
      </c>
      <c r="B6" s="70" t="s">
        <v>1292</v>
      </c>
      <c r="C6" s="16" t="s">
        <v>12</v>
      </c>
      <c r="D6" s="103">
        <v>710</v>
      </c>
      <c r="E6" s="103"/>
      <c r="F6" s="103">
        <f>D6-E5</f>
        <v>710</v>
      </c>
      <c r="G6" s="103"/>
      <c r="H6" s="103">
        <f>MROUND((D6*(1+Sheet1!$C$3)),0.1)+0.5</f>
        <v>730</v>
      </c>
      <c r="I6" s="103"/>
      <c r="J6" s="103">
        <f>H6+I5</f>
        <v>730</v>
      </c>
      <c r="K6" s="9">
        <f>J6-F6</f>
        <v>20</v>
      </c>
      <c r="L6" s="8">
        <f>IF(F6="","NEW",K6/F6)</f>
        <v>2.8169014084507043E-2</v>
      </c>
    </row>
    <row r="7" spans="1:12" x14ac:dyDescent="0.35">
      <c r="A7" s="67">
        <f t="shared" ref="A7:A26" si="0">+A6+1</f>
        <v>3</v>
      </c>
      <c r="B7" s="70" t="s">
        <v>1293</v>
      </c>
      <c r="C7" s="16" t="s">
        <v>12</v>
      </c>
      <c r="D7" s="103">
        <v>2070</v>
      </c>
      <c r="E7" s="103"/>
      <c r="F7" s="103">
        <f>D7-E6</f>
        <v>2070</v>
      </c>
      <c r="G7" s="103"/>
      <c r="H7" s="103">
        <f>MROUND((D7*(1+Sheet1!$C$3)),0.1)+3.1</f>
        <v>2130</v>
      </c>
      <c r="I7" s="103"/>
      <c r="J7" s="103">
        <f>H7+I6</f>
        <v>2130</v>
      </c>
      <c r="K7" s="9">
        <f>J7-F7</f>
        <v>60</v>
      </c>
      <c r="L7" s="8">
        <f>IF(F7="","NEW",K7/F7)</f>
        <v>2.8985507246376812E-2</v>
      </c>
    </row>
    <row r="8" spans="1:12" x14ac:dyDescent="0.35">
      <c r="A8" s="67">
        <f t="shared" si="0"/>
        <v>4</v>
      </c>
      <c r="B8" s="70" t="s">
        <v>1294</v>
      </c>
      <c r="C8" s="16" t="s">
        <v>12</v>
      </c>
      <c r="D8" s="103">
        <v>1450</v>
      </c>
      <c r="E8" s="103"/>
      <c r="F8" s="103">
        <f>D8-E7</f>
        <v>1450</v>
      </c>
      <c r="G8" s="103"/>
      <c r="H8" s="103">
        <f>MROUND((D8*(1+Sheet1!$C$3)),0.1)+10.1</f>
        <v>1500</v>
      </c>
      <c r="I8" s="103"/>
      <c r="J8" s="103">
        <f>H8+I7</f>
        <v>1500</v>
      </c>
      <c r="K8" s="9">
        <f>J8-F8</f>
        <v>50</v>
      </c>
      <c r="L8" s="8">
        <f>IF(F8="","NEW",K8/F8)</f>
        <v>3.4482758620689655E-2</v>
      </c>
    </row>
    <row r="9" spans="1:12" x14ac:dyDescent="0.35">
      <c r="A9" s="67">
        <f t="shared" si="0"/>
        <v>5</v>
      </c>
      <c r="B9" s="70" t="s">
        <v>1295</v>
      </c>
      <c r="C9" s="16"/>
    </row>
    <row r="10" spans="1:12" x14ac:dyDescent="0.35">
      <c r="A10" s="67">
        <f t="shared" si="0"/>
        <v>6</v>
      </c>
      <c r="B10" s="70" t="s">
        <v>1296</v>
      </c>
      <c r="C10" s="16" t="s">
        <v>12</v>
      </c>
      <c r="D10" s="103">
        <v>340</v>
      </c>
      <c r="E10" s="40"/>
      <c r="F10" s="40">
        <f>D10-E10</f>
        <v>340</v>
      </c>
      <c r="G10" s="40"/>
      <c r="H10" s="103">
        <f>MROUND((D10*(1+Sheet1!$C$3)),0.1)+0.6</f>
        <v>350.00000000000006</v>
      </c>
      <c r="I10" s="40"/>
      <c r="J10" s="103">
        <f>H10+I10</f>
        <v>350.00000000000006</v>
      </c>
      <c r="K10" s="9">
        <f>J10-F10</f>
        <v>10.000000000000057</v>
      </c>
      <c r="L10" s="8">
        <f>IF(F10="","NEW",K10/F10)</f>
        <v>2.9411764705882519E-2</v>
      </c>
    </row>
    <row r="11" spans="1:12" x14ac:dyDescent="0.35">
      <c r="A11" s="67">
        <f t="shared" si="0"/>
        <v>7</v>
      </c>
      <c r="B11" s="256" t="s">
        <v>1297</v>
      </c>
      <c r="C11" s="16" t="s">
        <v>12</v>
      </c>
      <c r="D11" s="627" t="s">
        <v>1298</v>
      </c>
      <c r="E11" s="628"/>
      <c r="F11" s="628"/>
      <c r="G11" s="628"/>
      <c r="H11" s="628"/>
      <c r="I11" s="628"/>
      <c r="J11" s="629"/>
    </row>
    <row r="12" spans="1:12" ht="15" customHeight="1" x14ac:dyDescent="0.35">
      <c r="A12" s="67">
        <f t="shared" si="0"/>
        <v>8</v>
      </c>
      <c r="B12" s="256" t="s">
        <v>1299</v>
      </c>
      <c r="C12" s="16" t="s">
        <v>12</v>
      </c>
      <c r="D12" s="103">
        <v>80</v>
      </c>
      <c r="E12" s="103"/>
      <c r="F12" s="103">
        <f>E12+D12</f>
        <v>80</v>
      </c>
      <c r="G12" s="103"/>
      <c r="H12" s="103">
        <f>MROUND((D12*(1+Sheet1!$C$3)),0.1)+2.8</f>
        <v>85</v>
      </c>
      <c r="I12" s="103"/>
      <c r="J12" s="103">
        <f>H12+I12</f>
        <v>85</v>
      </c>
      <c r="K12" s="9">
        <f>J12-F12</f>
        <v>5</v>
      </c>
      <c r="L12" s="8">
        <f>IF(F12="","NEW",K12/F12)</f>
        <v>6.25E-2</v>
      </c>
    </row>
    <row r="13" spans="1:12" x14ac:dyDescent="0.35">
      <c r="A13" s="67">
        <f t="shared" si="0"/>
        <v>9</v>
      </c>
      <c r="B13" s="70" t="s">
        <v>1300</v>
      </c>
      <c r="C13" s="16" t="s">
        <v>12</v>
      </c>
      <c r="D13" s="103"/>
      <c r="E13" s="103"/>
      <c r="F13" s="103"/>
      <c r="G13" s="103"/>
      <c r="H13" s="103"/>
      <c r="I13" s="103"/>
      <c r="J13" s="103"/>
      <c r="K13" s="9"/>
      <c r="L13" s="8"/>
    </row>
    <row r="14" spans="1:12" x14ac:dyDescent="0.35">
      <c r="A14" s="67">
        <f t="shared" si="0"/>
        <v>10</v>
      </c>
      <c r="B14" s="70" t="s">
        <v>1301</v>
      </c>
      <c r="C14" s="16" t="s">
        <v>12</v>
      </c>
      <c r="D14" s="103">
        <v>40</v>
      </c>
      <c r="E14" s="103"/>
      <c r="F14" s="103">
        <f>E14+D14</f>
        <v>40</v>
      </c>
      <c r="G14" s="103"/>
      <c r="H14" s="103">
        <f>MROUND((D14*(1+Sheet1!$C$3)),0.1)+1.4</f>
        <v>42.5</v>
      </c>
      <c r="I14" s="103"/>
      <c r="J14" s="103">
        <f>H14+I14</f>
        <v>42.5</v>
      </c>
      <c r="K14" s="9">
        <f>J14-F14</f>
        <v>2.5</v>
      </c>
      <c r="L14" s="8">
        <f>IF(F14="","NEW",K14/F14)</f>
        <v>6.25E-2</v>
      </c>
    </row>
    <row r="15" spans="1:12" x14ac:dyDescent="0.35">
      <c r="A15" s="67"/>
      <c r="B15" s="232"/>
      <c r="C15" s="16"/>
      <c r="D15" s="103"/>
      <c r="E15" s="103"/>
      <c r="F15" s="103"/>
      <c r="G15" s="103"/>
      <c r="H15" s="103"/>
      <c r="I15" s="103"/>
      <c r="J15" s="103"/>
      <c r="K15" s="9"/>
      <c r="L15" s="8"/>
    </row>
    <row r="16" spans="1:12" ht="18.5" thickBot="1" x14ac:dyDescent="0.4">
      <c r="A16" s="67"/>
      <c r="B16" s="269" t="s">
        <v>1302</v>
      </c>
      <c r="C16" s="16"/>
      <c r="D16" s="103"/>
      <c r="E16" s="103"/>
      <c r="F16" s="103"/>
      <c r="G16" s="103"/>
      <c r="H16" s="103"/>
      <c r="I16" s="103"/>
      <c r="J16" s="103"/>
      <c r="K16" s="9"/>
      <c r="L16" s="8"/>
    </row>
    <row r="17" spans="1:12" ht="17.5" thickTop="1" thickBot="1" x14ac:dyDescent="0.4">
      <c r="A17" s="67"/>
      <c r="B17" s="264" t="s">
        <v>1303</v>
      </c>
      <c r="C17" s="16"/>
      <c r="D17" s="103"/>
      <c r="E17" s="103"/>
      <c r="F17" s="40"/>
      <c r="G17" s="40"/>
      <c r="H17" s="103"/>
      <c r="I17" s="103"/>
      <c r="J17" s="103"/>
      <c r="K17" s="9"/>
      <c r="L17" s="8"/>
    </row>
    <row r="18" spans="1:12" x14ac:dyDescent="0.35">
      <c r="A18" s="67">
        <f>+A14+1</f>
        <v>11</v>
      </c>
      <c r="B18" s="70" t="s">
        <v>1304</v>
      </c>
      <c r="C18" s="16" t="s">
        <v>12</v>
      </c>
      <c r="D18" s="103">
        <v>33</v>
      </c>
      <c r="E18" s="103">
        <f t="shared" ref="E18:E26" si="1">ROUND(D18*0.2,2)</f>
        <v>6.6</v>
      </c>
      <c r="F18" s="40">
        <f t="shared" ref="F18:F26" si="2">E18+D18</f>
        <v>39.6</v>
      </c>
      <c r="G18" s="40"/>
      <c r="H18" s="103">
        <f>MROUND((D18*(1+Sheet1!$C$3)),0.1)+1.52</f>
        <v>35.42</v>
      </c>
      <c r="I18" s="103">
        <f t="shared" ref="I18:I26" si="3">ROUND(H18*0.2,2)</f>
        <v>7.08</v>
      </c>
      <c r="J18" s="103">
        <f t="shared" ref="J18:J26" si="4">H18+I18</f>
        <v>42.5</v>
      </c>
      <c r="K18" s="9">
        <f t="shared" ref="K18:K26" si="5">J18-F18</f>
        <v>2.8999999999999986</v>
      </c>
      <c r="L18" s="8">
        <f t="shared" ref="L18:L26" si="6">IF(F18="","NEW",K18/F18)</f>
        <v>7.323232323232319E-2</v>
      </c>
    </row>
    <row r="19" spans="1:12" x14ac:dyDescent="0.35">
      <c r="A19" s="67">
        <f t="shared" si="0"/>
        <v>12</v>
      </c>
      <c r="B19" s="70" t="s">
        <v>1305</v>
      </c>
      <c r="C19" s="16" t="s">
        <v>12</v>
      </c>
      <c r="D19" s="103">
        <v>138</v>
      </c>
      <c r="E19" s="103">
        <f t="shared" si="1"/>
        <v>27.6</v>
      </c>
      <c r="F19" s="40">
        <f t="shared" si="2"/>
        <v>165.6</v>
      </c>
      <c r="G19" s="40"/>
      <c r="H19" s="103">
        <f>MROUND((D19*(1+Sheet1!$C$3)),0.1)+4.03</f>
        <v>145.83000000000001</v>
      </c>
      <c r="I19" s="103">
        <f t="shared" si="3"/>
        <v>29.17</v>
      </c>
      <c r="J19" s="103">
        <f t="shared" si="4"/>
        <v>175</v>
      </c>
      <c r="K19" s="9">
        <f t="shared" si="5"/>
        <v>9.4000000000000057</v>
      </c>
      <c r="L19" s="8">
        <f t="shared" si="6"/>
        <v>5.6763285024154626E-2</v>
      </c>
    </row>
    <row r="20" spans="1:12" x14ac:dyDescent="0.35">
      <c r="A20" s="67">
        <f t="shared" si="0"/>
        <v>13</v>
      </c>
      <c r="B20" s="477" t="s">
        <v>1306</v>
      </c>
      <c r="C20" s="16" t="s">
        <v>12</v>
      </c>
      <c r="D20" s="103">
        <v>66</v>
      </c>
      <c r="E20" s="478">
        <f t="shared" si="1"/>
        <v>13.2</v>
      </c>
      <c r="F20" s="479">
        <f t="shared" si="2"/>
        <v>79.2</v>
      </c>
      <c r="G20" s="479"/>
      <c r="H20" s="103">
        <f>MROUND((D20*(1+Sheet1!$C$3)),0.1)+3.03</f>
        <v>70.83</v>
      </c>
      <c r="I20" s="478">
        <f t="shared" si="3"/>
        <v>14.17</v>
      </c>
      <c r="J20" s="478">
        <f t="shared" si="4"/>
        <v>85</v>
      </c>
      <c r="K20" s="257">
        <f t="shared" si="5"/>
        <v>5.7999999999999972</v>
      </c>
      <c r="L20" s="480">
        <f t="shared" si="6"/>
        <v>7.323232323232319E-2</v>
      </c>
    </row>
    <row r="21" spans="1:12" x14ac:dyDescent="0.35">
      <c r="A21" s="67">
        <f t="shared" si="0"/>
        <v>14</v>
      </c>
      <c r="B21" s="477" t="s">
        <v>1307</v>
      </c>
      <c r="C21" s="16" t="s">
        <v>12</v>
      </c>
      <c r="D21" s="103">
        <v>770</v>
      </c>
      <c r="E21" s="478">
        <f t="shared" si="1"/>
        <v>154</v>
      </c>
      <c r="F21" s="479">
        <f t="shared" si="2"/>
        <v>924</v>
      </c>
      <c r="G21" s="479"/>
      <c r="H21" s="103">
        <f>MROUND((D21*(1+Sheet1!$C$3)),0.1)+0.47</f>
        <v>791.67000000000007</v>
      </c>
      <c r="I21" s="478">
        <f t="shared" si="3"/>
        <v>158.33000000000001</v>
      </c>
      <c r="J21" s="478">
        <f t="shared" si="4"/>
        <v>950.00000000000011</v>
      </c>
      <c r="K21" s="257">
        <f t="shared" si="5"/>
        <v>26.000000000000114</v>
      </c>
      <c r="L21" s="8">
        <f t="shared" si="6"/>
        <v>2.8138528138528261E-2</v>
      </c>
    </row>
    <row r="22" spans="1:12" x14ac:dyDescent="0.35">
      <c r="A22" s="67">
        <f t="shared" si="0"/>
        <v>15</v>
      </c>
      <c r="B22" s="477" t="s">
        <v>1308</v>
      </c>
      <c r="C22" s="16" t="s">
        <v>12</v>
      </c>
      <c r="D22" s="103">
        <v>440</v>
      </c>
      <c r="E22" s="478">
        <f t="shared" si="1"/>
        <v>88</v>
      </c>
      <c r="F22" s="479">
        <f t="shared" si="2"/>
        <v>528</v>
      </c>
      <c r="G22" s="479"/>
      <c r="H22" s="103">
        <f>MROUND((D22*(1+Sheet1!$C$3)),0.1)+2.07</f>
        <v>454.17</v>
      </c>
      <c r="I22" s="478">
        <f t="shared" si="3"/>
        <v>90.83</v>
      </c>
      <c r="J22" s="478">
        <f t="shared" si="4"/>
        <v>545</v>
      </c>
      <c r="K22" s="257">
        <f t="shared" si="5"/>
        <v>17</v>
      </c>
      <c r="L22" s="8">
        <f t="shared" si="6"/>
        <v>3.2196969696969696E-2</v>
      </c>
    </row>
    <row r="23" spans="1:12" x14ac:dyDescent="0.35">
      <c r="A23" s="67">
        <f t="shared" si="0"/>
        <v>16</v>
      </c>
      <c r="B23" s="477" t="s">
        <v>1309</v>
      </c>
      <c r="C23" s="16" t="s">
        <v>12</v>
      </c>
      <c r="D23" s="103">
        <v>230</v>
      </c>
      <c r="E23" s="478">
        <f t="shared" si="1"/>
        <v>46</v>
      </c>
      <c r="F23" s="479">
        <f t="shared" si="2"/>
        <v>276</v>
      </c>
      <c r="G23" s="479"/>
      <c r="H23" s="103">
        <f>MROUND((D23*(1+Sheet1!$C$3)),0.1)+1.2</f>
        <v>237.5</v>
      </c>
      <c r="I23" s="478">
        <f t="shared" si="3"/>
        <v>47.5</v>
      </c>
      <c r="J23" s="478">
        <f t="shared" si="4"/>
        <v>285</v>
      </c>
      <c r="K23" s="257">
        <f t="shared" si="5"/>
        <v>9</v>
      </c>
      <c r="L23" s="8">
        <f t="shared" si="6"/>
        <v>3.2608695652173912E-2</v>
      </c>
    </row>
    <row r="24" spans="1:12" x14ac:dyDescent="0.35">
      <c r="A24" s="67">
        <f t="shared" si="0"/>
        <v>17</v>
      </c>
      <c r="B24" s="477" t="s">
        <v>1310</v>
      </c>
      <c r="C24" s="16" t="s">
        <v>12</v>
      </c>
      <c r="D24" s="103">
        <v>120</v>
      </c>
      <c r="E24" s="478">
        <f t="shared" si="1"/>
        <v>24</v>
      </c>
      <c r="F24" s="479">
        <f t="shared" si="2"/>
        <v>144</v>
      </c>
      <c r="G24" s="479"/>
      <c r="H24" s="103">
        <f>MROUND((D24*(1+Sheet1!$C$3)),0.1)+1.7</f>
        <v>125.00000000000001</v>
      </c>
      <c r="I24" s="478">
        <f t="shared" si="3"/>
        <v>25</v>
      </c>
      <c r="J24" s="478">
        <f t="shared" si="4"/>
        <v>150</v>
      </c>
      <c r="K24" s="257">
        <f t="shared" si="5"/>
        <v>6</v>
      </c>
      <c r="L24" s="8">
        <f t="shared" si="6"/>
        <v>4.1666666666666664E-2</v>
      </c>
    </row>
    <row r="25" spans="1:12" x14ac:dyDescent="0.35">
      <c r="A25" s="67">
        <f t="shared" si="0"/>
        <v>18</v>
      </c>
      <c r="B25" s="477" t="s">
        <v>1311</v>
      </c>
      <c r="C25" s="16" t="s">
        <v>12</v>
      </c>
      <c r="D25" s="103">
        <v>265</v>
      </c>
      <c r="E25" s="478">
        <f t="shared" si="1"/>
        <v>53</v>
      </c>
      <c r="F25" s="479">
        <f t="shared" si="2"/>
        <v>318</v>
      </c>
      <c r="G25" s="479"/>
      <c r="H25" s="103">
        <f>MROUND((D25*(1+Sheet1!$C$3)),0.1)+2.7</f>
        <v>275</v>
      </c>
      <c r="I25" s="478">
        <f t="shared" si="3"/>
        <v>55</v>
      </c>
      <c r="J25" s="478">
        <f t="shared" si="4"/>
        <v>330</v>
      </c>
      <c r="K25" s="257">
        <f t="shared" si="5"/>
        <v>12</v>
      </c>
      <c r="L25" s="8">
        <f t="shared" si="6"/>
        <v>3.7735849056603772E-2</v>
      </c>
    </row>
    <row r="26" spans="1:12" x14ac:dyDescent="0.35">
      <c r="A26" s="67">
        <f t="shared" si="0"/>
        <v>19</v>
      </c>
      <c r="B26" s="477" t="s">
        <v>1312</v>
      </c>
      <c r="C26" s="16" t="s">
        <v>12</v>
      </c>
      <c r="D26" s="103">
        <v>132</v>
      </c>
      <c r="E26" s="478">
        <f t="shared" si="1"/>
        <v>26.4</v>
      </c>
      <c r="F26" s="479">
        <f t="shared" si="2"/>
        <v>158.4</v>
      </c>
      <c r="G26" s="479"/>
      <c r="H26" s="103">
        <f>MROUND((D26*(1+Sheet1!$C$3)),0.1)+1.9</f>
        <v>137.5</v>
      </c>
      <c r="I26" s="478">
        <f t="shared" si="3"/>
        <v>27.5</v>
      </c>
      <c r="J26" s="478">
        <f t="shared" si="4"/>
        <v>165</v>
      </c>
      <c r="K26" s="257">
        <f t="shared" si="5"/>
        <v>6.5999999999999943</v>
      </c>
      <c r="L26" s="8">
        <f t="shared" si="6"/>
        <v>4.166666666666663E-2</v>
      </c>
    </row>
    <row r="27" spans="1:12" x14ac:dyDescent="0.35">
      <c r="A27" s="67"/>
      <c r="B27" s="70"/>
      <c r="C27" s="16"/>
      <c r="D27" s="103"/>
      <c r="E27" s="478"/>
      <c r="F27" s="479"/>
      <c r="G27" s="479"/>
      <c r="H27" s="103"/>
      <c r="I27" s="478"/>
      <c r="J27" s="478"/>
      <c r="K27" s="257"/>
      <c r="L27" s="8"/>
    </row>
    <row r="28" spans="1:12" ht="17" thickBot="1" x14ac:dyDescent="0.4">
      <c r="A28" s="67"/>
      <c r="B28" s="288" t="s">
        <v>1313</v>
      </c>
      <c r="C28" s="16"/>
      <c r="D28" s="258"/>
      <c r="E28" s="258"/>
      <c r="F28" s="258"/>
      <c r="G28" s="258"/>
      <c r="H28" s="258"/>
      <c r="I28" s="258"/>
      <c r="J28" s="258"/>
      <c r="K28" s="232"/>
      <c r="L28" s="481"/>
    </row>
    <row r="29" spans="1:12" x14ac:dyDescent="0.35">
      <c r="A29" s="67">
        <f>+A26+1</f>
        <v>20</v>
      </c>
      <c r="B29" s="132" t="s">
        <v>1314</v>
      </c>
      <c r="C29" s="16" t="s">
        <v>12</v>
      </c>
      <c r="D29" s="103">
        <v>33</v>
      </c>
      <c r="E29" s="258"/>
      <c r="F29" s="40">
        <f>SUM(D29+E29)</f>
        <v>33</v>
      </c>
      <c r="G29" s="258"/>
      <c r="H29" s="103">
        <f>MROUND((D29*(1+Sheet1!$C$3)),0.1)+1.1</f>
        <v>35</v>
      </c>
      <c r="I29" s="258"/>
      <c r="J29" s="40">
        <f>SUM(H29+I29)</f>
        <v>35</v>
      </c>
      <c r="K29" s="9">
        <f>J29-F29</f>
        <v>2</v>
      </c>
      <c r="L29" s="8">
        <f>IF(F29="","NEW",K29/F29)</f>
        <v>6.0606060606060608E-2</v>
      </c>
    </row>
  </sheetData>
  <mergeCells count="3">
    <mergeCell ref="A1:B1"/>
    <mergeCell ref="K1:L1"/>
    <mergeCell ref="D11:J11"/>
  </mergeCells>
  <conditionalFormatting sqref="L3 L5:L8 L10">
    <cfRule type="cellIs" dxfId="4" priority="15" operator="equal">
      <formula>"NEW"</formula>
    </cfRule>
  </conditionalFormatting>
  <conditionalFormatting sqref="L12:L27">
    <cfRule type="cellIs" dxfId="3" priority="13" operator="equal">
      <formula>"NEW"</formula>
    </cfRule>
  </conditionalFormatting>
  <conditionalFormatting sqref="L29">
    <cfRule type="cellIs" dxfId="2" priority="14" operator="equal">
      <formula>"NEW"</formula>
    </cfRule>
  </conditionalFormatting>
  <dataValidations disablePrompts="1" count="2">
    <dataValidation type="list" allowBlank="1" showInputMessage="1" showErrorMessage="1" sqref="C3:C29" xr:uid="{56202F4E-E1E2-447D-8D55-8ECE9B0617EB}">
      <formula1>"Statutory, Full Cost Recovery, Discretionary, Third Party"</formula1>
    </dataValidation>
    <dataValidation type="list" allowBlank="1" showInputMessage="1" showErrorMessage="1" sqref="IL65449:IL65562 SH65449:SH65562 ACD65449:ACD65562 ALZ65449:ALZ65562 AVV65449:AVV65562 BFR65449:BFR65562 BPN65449:BPN65562 BZJ65449:BZJ65562 CJF65449:CJF65562 CTB65449:CTB65562 DCX65449:DCX65562 DMT65449:DMT65562 DWP65449:DWP65562 EGL65449:EGL65562 EQH65449:EQH65562 FAD65449:FAD65562 FJZ65449:FJZ65562 FTV65449:FTV65562 GDR65449:GDR65562 GNN65449:GNN65562 GXJ65449:GXJ65562 HHF65449:HHF65562 HRB65449:HRB65562 IAX65449:IAX65562 IKT65449:IKT65562 IUP65449:IUP65562 JEL65449:JEL65562 JOH65449:JOH65562 JYD65449:JYD65562 KHZ65449:KHZ65562 KRV65449:KRV65562 LBR65449:LBR65562 LLN65449:LLN65562 LVJ65449:LVJ65562 MFF65449:MFF65562 MPB65449:MPB65562 MYX65449:MYX65562 NIT65449:NIT65562 NSP65449:NSP65562 OCL65449:OCL65562 OMH65449:OMH65562 OWD65449:OWD65562 PFZ65449:PFZ65562 PPV65449:PPV65562 PZR65449:PZR65562 QJN65449:QJN65562 QTJ65449:QTJ65562 RDF65449:RDF65562 RNB65449:RNB65562 RWX65449:RWX65562 SGT65449:SGT65562 SQP65449:SQP65562 TAL65449:TAL65562 TKH65449:TKH65562 TUD65449:TUD65562 UDZ65449:UDZ65562 UNV65449:UNV65562 UXR65449:UXR65562 VHN65449:VHN65562 VRJ65449:VRJ65562 WBF65449:WBF65562 WLB65449:WLB65562 WUX65449:WUX65562 IL130985:IL131098 SH130985:SH131098 ACD130985:ACD131098 ALZ130985:ALZ131098 AVV130985:AVV131098 BFR130985:BFR131098 BPN130985:BPN131098 BZJ130985:BZJ131098 CJF130985:CJF131098 CTB130985:CTB131098 DCX130985:DCX131098 DMT130985:DMT131098 DWP130985:DWP131098 EGL130985:EGL131098 EQH130985:EQH131098 FAD130985:FAD131098 FJZ130985:FJZ131098 FTV130985:FTV131098 GDR130985:GDR131098 GNN130985:GNN131098 GXJ130985:GXJ131098 HHF130985:HHF131098 HRB130985:HRB131098 IAX130985:IAX131098 IKT130985:IKT131098 IUP130985:IUP131098 JEL130985:JEL131098 JOH130985:JOH131098 JYD130985:JYD131098 KHZ130985:KHZ131098 KRV130985:KRV131098 LBR130985:LBR131098 LLN130985:LLN131098 LVJ130985:LVJ131098 MFF130985:MFF131098 MPB130985:MPB131098 MYX130985:MYX131098 NIT130985:NIT131098 NSP130985:NSP131098 OCL130985:OCL131098 OMH130985:OMH131098 OWD130985:OWD131098 PFZ130985:PFZ131098 PPV130985:PPV131098 PZR130985:PZR131098 QJN130985:QJN131098 QTJ130985:QTJ131098 RDF130985:RDF131098 RNB130985:RNB131098 RWX130985:RWX131098 SGT130985:SGT131098 SQP130985:SQP131098 TAL130985:TAL131098 TKH130985:TKH131098 TUD130985:TUD131098 UDZ130985:UDZ131098 UNV130985:UNV131098 UXR130985:UXR131098 VHN130985:VHN131098 VRJ130985:VRJ131098 WBF130985:WBF131098 WLB130985:WLB131098 WUX130985:WUX131098 IL196521:IL196634 SH196521:SH196634 ACD196521:ACD196634 ALZ196521:ALZ196634 AVV196521:AVV196634 BFR196521:BFR196634 BPN196521:BPN196634 BZJ196521:BZJ196634 CJF196521:CJF196634 CTB196521:CTB196634 DCX196521:DCX196634 DMT196521:DMT196634 DWP196521:DWP196634 EGL196521:EGL196634 EQH196521:EQH196634 FAD196521:FAD196634 FJZ196521:FJZ196634 FTV196521:FTV196634 GDR196521:GDR196634 GNN196521:GNN196634 GXJ196521:GXJ196634 HHF196521:HHF196634 HRB196521:HRB196634 IAX196521:IAX196634 IKT196521:IKT196634 IUP196521:IUP196634 JEL196521:JEL196634 JOH196521:JOH196634 JYD196521:JYD196634 KHZ196521:KHZ196634 KRV196521:KRV196634 LBR196521:LBR196634 LLN196521:LLN196634 LVJ196521:LVJ196634 MFF196521:MFF196634 MPB196521:MPB196634 MYX196521:MYX196634 NIT196521:NIT196634 NSP196521:NSP196634 OCL196521:OCL196634 OMH196521:OMH196634 OWD196521:OWD196634 PFZ196521:PFZ196634 PPV196521:PPV196634 PZR196521:PZR196634 QJN196521:QJN196634 QTJ196521:QTJ196634 RDF196521:RDF196634 RNB196521:RNB196634 RWX196521:RWX196634 SGT196521:SGT196634 SQP196521:SQP196634 TAL196521:TAL196634 TKH196521:TKH196634 TUD196521:TUD196634 UDZ196521:UDZ196634 UNV196521:UNV196634 UXR196521:UXR196634 VHN196521:VHN196634 VRJ196521:VRJ196634 WBF196521:WBF196634 WLB196521:WLB196634 WUX196521:WUX196634 IL262057:IL262170 SH262057:SH262170 ACD262057:ACD262170 ALZ262057:ALZ262170 AVV262057:AVV262170 BFR262057:BFR262170 BPN262057:BPN262170 BZJ262057:BZJ262170 CJF262057:CJF262170 CTB262057:CTB262170 DCX262057:DCX262170 DMT262057:DMT262170 DWP262057:DWP262170 EGL262057:EGL262170 EQH262057:EQH262170 FAD262057:FAD262170 FJZ262057:FJZ262170 FTV262057:FTV262170 GDR262057:GDR262170 GNN262057:GNN262170 GXJ262057:GXJ262170 HHF262057:HHF262170 HRB262057:HRB262170 IAX262057:IAX262170 IKT262057:IKT262170 IUP262057:IUP262170 JEL262057:JEL262170 JOH262057:JOH262170 JYD262057:JYD262170 KHZ262057:KHZ262170 KRV262057:KRV262170 LBR262057:LBR262170 LLN262057:LLN262170 LVJ262057:LVJ262170 MFF262057:MFF262170 MPB262057:MPB262170 MYX262057:MYX262170 NIT262057:NIT262170 NSP262057:NSP262170 OCL262057:OCL262170 OMH262057:OMH262170 OWD262057:OWD262170 PFZ262057:PFZ262170 PPV262057:PPV262170 PZR262057:PZR262170 QJN262057:QJN262170 QTJ262057:QTJ262170 RDF262057:RDF262170 RNB262057:RNB262170 RWX262057:RWX262170 SGT262057:SGT262170 SQP262057:SQP262170 TAL262057:TAL262170 TKH262057:TKH262170 TUD262057:TUD262170 UDZ262057:UDZ262170 UNV262057:UNV262170 UXR262057:UXR262170 VHN262057:VHN262170 VRJ262057:VRJ262170 WBF262057:WBF262170 WLB262057:WLB262170 WUX262057:WUX262170 IL327593:IL327706 SH327593:SH327706 ACD327593:ACD327706 ALZ327593:ALZ327706 AVV327593:AVV327706 BFR327593:BFR327706 BPN327593:BPN327706 BZJ327593:BZJ327706 CJF327593:CJF327706 CTB327593:CTB327706 DCX327593:DCX327706 DMT327593:DMT327706 DWP327593:DWP327706 EGL327593:EGL327706 EQH327593:EQH327706 FAD327593:FAD327706 FJZ327593:FJZ327706 FTV327593:FTV327706 GDR327593:GDR327706 GNN327593:GNN327706 GXJ327593:GXJ327706 HHF327593:HHF327706 HRB327593:HRB327706 IAX327593:IAX327706 IKT327593:IKT327706 IUP327593:IUP327706 JEL327593:JEL327706 JOH327593:JOH327706 JYD327593:JYD327706 KHZ327593:KHZ327706 KRV327593:KRV327706 LBR327593:LBR327706 LLN327593:LLN327706 LVJ327593:LVJ327706 MFF327593:MFF327706 MPB327593:MPB327706 MYX327593:MYX327706 NIT327593:NIT327706 NSP327593:NSP327706 OCL327593:OCL327706 OMH327593:OMH327706 OWD327593:OWD327706 PFZ327593:PFZ327706 PPV327593:PPV327706 PZR327593:PZR327706 QJN327593:QJN327706 QTJ327593:QTJ327706 RDF327593:RDF327706 RNB327593:RNB327706 RWX327593:RWX327706 SGT327593:SGT327706 SQP327593:SQP327706 TAL327593:TAL327706 TKH327593:TKH327706 TUD327593:TUD327706 UDZ327593:UDZ327706 UNV327593:UNV327706 UXR327593:UXR327706 VHN327593:VHN327706 VRJ327593:VRJ327706 WBF327593:WBF327706 WLB327593:WLB327706 WUX327593:WUX327706 IL393129:IL393242 SH393129:SH393242 ACD393129:ACD393242 ALZ393129:ALZ393242 AVV393129:AVV393242 BFR393129:BFR393242 BPN393129:BPN393242 BZJ393129:BZJ393242 CJF393129:CJF393242 CTB393129:CTB393242 DCX393129:DCX393242 DMT393129:DMT393242 DWP393129:DWP393242 EGL393129:EGL393242 EQH393129:EQH393242 FAD393129:FAD393242 FJZ393129:FJZ393242 FTV393129:FTV393242 GDR393129:GDR393242 GNN393129:GNN393242 GXJ393129:GXJ393242 HHF393129:HHF393242 HRB393129:HRB393242 IAX393129:IAX393242 IKT393129:IKT393242 IUP393129:IUP393242 JEL393129:JEL393242 JOH393129:JOH393242 JYD393129:JYD393242 KHZ393129:KHZ393242 KRV393129:KRV393242 LBR393129:LBR393242 LLN393129:LLN393242 LVJ393129:LVJ393242 MFF393129:MFF393242 MPB393129:MPB393242 MYX393129:MYX393242 NIT393129:NIT393242 NSP393129:NSP393242 OCL393129:OCL393242 OMH393129:OMH393242 OWD393129:OWD393242 PFZ393129:PFZ393242 PPV393129:PPV393242 PZR393129:PZR393242 QJN393129:QJN393242 QTJ393129:QTJ393242 RDF393129:RDF393242 RNB393129:RNB393242 RWX393129:RWX393242 SGT393129:SGT393242 SQP393129:SQP393242 TAL393129:TAL393242 TKH393129:TKH393242 TUD393129:TUD393242 UDZ393129:UDZ393242 UNV393129:UNV393242 UXR393129:UXR393242 VHN393129:VHN393242 VRJ393129:VRJ393242 WBF393129:WBF393242 WLB393129:WLB393242 WUX393129:WUX393242 IL458665:IL458778 SH458665:SH458778 ACD458665:ACD458778 ALZ458665:ALZ458778 AVV458665:AVV458778 BFR458665:BFR458778 BPN458665:BPN458778 BZJ458665:BZJ458778 CJF458665:CJF458778 CTB458665:CTB458778 DCX458665:DCX458778 DMT458665:DMT458778 DWP458665:DWP458778 EGL458665:EGL458778 EQH458665:EQH458778 FAD458665:FAD458778 FJZ458665:FJZ458778 FTV458665:FTV458778 GDR458665:GDR458778 GNN458665:GNN458778 GXJ458665:GXJ458778 HHF458665:HHF458778 HRB458665:HRB458778 IAX458665:IAX458778 IKT458665:IKT458778 IUP458665:IUP458778 JEL458665:JEL458778 JOH458665:JOH458778 JYD458665:JYD458778 KHZ458665:KHZ458778 KRV458665:KRV458778 LBR458665:LBR458778 LLN458665:LLN458778 LVJ458665:LVJ458778 MFF458665:MFF458778 MPB458665:MPB458778 MYX458665:MYX458778 NIT458665:NIT458778 NSP458665:NSP458778 OCL458665:OCL458778 OMH458665:OMH458778 OWD458665:OWD458778 PFZ458665:PFZ458778 PPV458665:PPV458778 PZR458665:PZR458778 QJN458665:QJN458778 QTJ458665:QTJ458778 RDF458665:RDF458778 RNB458665:RNB458778 RWX458665:RWX458778 SGT458665:SGT458778 SQP458665:SQP458778 TAL458665:TAL458778 TKH458665:TKH458778 TUD458665:TUD458778 UDZ458665:UDZ458778 UNV458665:UNV458778 UXR458665:UXR458778 VHN458665:VHN458778 VRJ458665:VRJ458778 WBF458665:WBF458778 WLB458665:WLB458778 WUX458665:WUX458778 IL524201:IL524314 SH524201:SH524314 ACD524201:ACD524314 ALZ524201:ALZ524314 AVV524201:AVV524314 BFR524201:BFR524314 BPN524201:BPN524314 BZJ524201:BZJ524314 CJF524201:CJF524314 CTB524201:CTB524314 DCX524201:DCX524314 DMT524201:DMT524314 DWP524201:DWP524314 EGL524201:EGL524314 EQH524201:EQH524314 FAD524201:FAD524314 FJZ524201:FJZ524314 FTV524201:FTV524314 GDR524201:GDR524314 GNN524201:GNN524314 GXJ524201:GXJ524314 HHF524201:HHF524314 HRB524201:HRB524314 IAX524201:IAX524314 IKT524201:IKT524314 IUP524201:IUP524314 JEL524201:JEL524314 JOH524201:JOH524314 JYD524201:JYD524314 KHZ524201:KHZ524314 KRV524201:KRV524314 LBR524201:LBR524314 LLN524201:LLN524314 LVJ524201:LVJ524314 MFF524201:MFF524314 MPB524201:MPB524314 MYX524201:MYX524314 NIT524201:NIT524314 NSP524201:NSP524314 OCL524201:OCL524314 OMH524201:OMH524314 OWD524201:OWD524314 PFZ524201:PFZ524314 PPV524201:PPV524314 PZR524201:PZR524314 QJN524201:QJN524314 QTJ524201:QTJ524314 RDF524201:RDF524314 RNB524201:RNB524314 RWX524201:RWX524314 SGT524201:SGT524314 SQP524201:SQP524314 TAL524201:TAL524314 TKH524201:TKH524314 TUD524201:TUD524314 UDZ524201:UDZ524314 UNV524201:UNV524314 UXR524201:UXR524314 VHN524201:VHN524314 VRJ524201:VRJ524314 WBF524201:WBF524314 WLB524201:WLB524314 WUX524201:WUX524314 IL589737:IL589850 SH589737:SH589850 ACD589737:ACD589850 ALZ589737:ALZ589850 AVV589737:AVV589850 BFR589737:BFR589850 BPN589737:BPN589850 BZJ589737:BZJ589850 CJF589737:CJF589850 CTB589737:CTB589850 DCX589737:DCX589850 DMT589737:DMT589850 DWP589737:DWP589850 EGL589737:EGL589850 EQH589737:EQH589850 FAD589737:FAD589850 FJZ589737:FJZ589850 FTV589737:FTV589850 GDR589737:GDR589850 GNN589737:GNN589850 GXJ589737:GXJ589850 HHF589737:HHF589850 HRB589737:HRB589850 IAX589737:IAX589850 IKT589737:IKT589850 IUP589737:IUP589850 JEL589737:JEL589850 JOH589737:JOH589850 JYD589737:JYD589850 KHZ589737:KHZ589850 KRV589737:KRV589850 LBR589737:LBR589850 LLN589737:LLN589850 LVJ589737:LVJ589850 MFF589737:MFF589850 MPB589737:MPB589850 MYX589737:MYX589850 NIT589737:NIT589850 NSP589737:NSP589850 OCL589737:OCL589850 OMH589737:OMH589850 OWD589737:OWD589850 PFZ589737:PFZ589850 PPV589737:PPV589850 PZR589737:PZR589850 QJN589737:QJN589850 QTJ589737:QTJ589850 RDF589737:RDF589850 RNB589737:RNB589850 RWX589737:RWX589850 SGT589737:SGT589850 SQP589737:SQP589850 TAL589737:TAL589850 TKH589737:TKH589850 TUD589737:TUD589850 UDZ589737:UDZ589850 UNV589737:UNV589850 UXR589737:UXR589850 VHN589737:VHN589850 VRJ589737:VRJ589850 WBF589737:WBF589850 WLB589737:WLB589850 WUX589737:WUX589850 IL655273:IL655386 SH655273:SH655386 ACD655273:ACD655386 ALZ655273:ALZ655386 AVV655273:AVV655386 BFR655273:BFR655386 BPN655273:BPN655386 BZJ655273:BZJ655386 CJF655273:CJF655386 CTB655273:CTB655386 DCX655273:DCX655386 DMT655273:DMT655386 DWP655273:DWP655386 EGL655273:EGL655386 EQH655273:EQH655386 FAD655273:FAD655386 FJZ655273:FJZ655386 FTV655273:FTV655386 GDR655273:GDR655386 GNN655273:GNN655386 GXJ655273:GXJ655386 HHF655273:HHF655386 HRB655273:HRB655386 IAX655273:IAX655386 IKT655273:IKT655386 IUP655273:IUP655386 JEL655273:JEL655386 JOH655273:JOH655386 JYD655273:JYD655386 KHZ655273:KHZ655386 KRV655273:KRV655386 LBR655273:LBR655386 LLN655273:LLN655386 LVJ655273:LVJ655386 MFF655273:MFF655386 MPB655273:MPB655386 MYX655273:MYX655386 NIT655273:NIT655386 NSP655273:NSP655386 OCL655273:OCL655386 OMH655273:OMH655386 OWD655273:OWD655386 PFZ655273:PFZ655386 PPV655273:PPV655386 PZR655273:PZR655386 QJN655273:QJN655386 QTJ655273:QTJ655386 RDF655273:RDF655386 RNB655273:RNB655386 RWX655273:RWX655386 SGT655273:SGT655386 SQP655273:SQP655386 TAL655273:TAL655386 TKH655273:TKH655386 TUD655273:TUD655386 UDZ655273:UDZ655386 UNV655273:UNV655386 UXR655273:UXR655386 VHN655273:VHN655386 VRJ655273:VRJ655386 WBF655273:WBF655386 WLB655273:WLB655386 WUX655273:WUX655386 IL720809:IL720922 SH720809:SH720922 ACD720809:ACD720922 ALZ720809:ALZ720922 AVV720809:AVV720922 BFR720809:BFR720922 BPN720809:BPN720922 BZJ720809:BZJ720922 CJF720809:CJF720922 CTB720809:CTB720922 DCX720809:DCX720922 DMT720809:DMT720922 DWP720809:DWP720922 EGL720809:EGL720922 EQH720809:EQH720922 FAD720809:FAD720922 FJZ720809:FJZ720922 FTV720809:FTV720922 GDR720809:GDR720922 GNN720809:GNN720922 GXJ720809:GXJ720922 HHF720809:HHF720922 HRB720809:HRB720922 IAX720809:IAX720922 IKT720809:IKT720922 IUP720809:IUP720922 JEL720809:JEL720922 JOH720809:JOH720922 JYD720809:JYD720922 KHZ720809:KHZ720922 KRV720809:KRV720922 LBR720809:LBR720922 LLN720809:LLN720922 LVJ720809:LVJ720922 MFF720809:MFF720922 MPB720809:MPB720922 MYX720809:MYX720922 NIT720809:NIT720922 NSP720809:NSP720922 OCL720809:OCL720922 OMH720809:OMH720922 OWD720809:OWD720922 PFZ720809:PFZ720922 PPV720809:PPV720922 PZR720809:PZR720922 QJN720809:QJN720922 QTJ720809:QTJ720922 RDF720809:RDF720922 RNB720809:RNB720922 RWX720809:RWX720922 SGT720809:SGT720922 SQP720809:SQP720922 TAL720809:TAL720922 TKH720809:TKH720922 TUD720809:TUD720922 UDZ720809:UDZ720922 UNV720809:UNV720922 UXR720809:UXR720922 VHN720809:VHN720922 VRJ720809:VRJ720922 WBF720809:WBF720922 WLB720809:WLB720922 WUX720809:WUX720922 IL786345:IL786458 SH786345:SH786458 ACD786345:ACD786458 ALZ786345:ALZ786458 AVV786345:AVV786458 BFR786345:BFR786458 BPN786345:BPN786458 BZJ786345:BZJ786458 CJF786345:CJF786458 CTB786345:CTB786458 DCX786345:DCX786458 DMT786345:DMT786458 DWP786345:DWP786458 EGL786345:EGL786458 EQH786345:EQH786458 FAD786345:FAD786458 FJZ786345:FJZ786458 FTV786345:FTV786458 GDR786345:GDR786458 GNN786345:GNN786458 GXJ786345:GXJ786458 HHF786345:HHF786458 HRB786345:HRB786458 IAX786345:IAX786458 IKT786345:IKT786458 IUP786345:IUP786458 JEL786345:JEL786458 JOH786345:JOH786458 JYD786345:JYD786458 KHZ786345:KHZ786458 KRV786345:KRV786458 LBR786345:LBR786458 LLN786345:LLN786458 LVJ786345:LVJ786458 MFF786345:MFF786458 MPB786345:MPB786458 MYX786345:MYX786458 NIT786345:NIT786458 NSP786345:NSP786458 OCL786345:OCL786458 OMH786345:OMH786458 OWD786345:OWD786458 PFZ786345:PFZ786458 PPV786345:PPV786458 PZR786345:PZR786458 QJN786345:QJN786458 QTJ786345:QTJ786458 RDF786345:RDF786458 RNB786345:RNB786458 RWX786345:RWX786458 SGT786345:SGT786458 SQP786345:SQP786458 TAL786345:TAL786458 TKH786345:TKH786458 TUD786345:TUD786458 UDZ786345:UDZ786458 UNV786345:UNV786458 UXR786345:UXR786458 VHN786345:VHN786458 VRJ786345:VRJ786458 WBF786345:WBF786458 WLB786345:WLB786458 WUX786345:WUX786458 IL851881:IL851994 SH851881:SH851994 ACD851881:ACD851994 ALZ851881:ALZ851994 AVV851881:AVV851994 BFR851881:BFR851994 BPN851881:BPN851994 BZJ851881:BZJ851994 CJF851881:CJF851994 CTB851881:CTB851994 DCX851881:DCX851994 DMT851881:DMT851994 DWP851881:DWP851994 EGL851881:EGL851994 EQH851881:EQH851994 FAD851881:FAD851994 FJZ851881:FJZ851994 FTV851881:FTV851994 GDR851881:GDR851994 GNN851881:GNN851994 GXJ851881:GXJ851994 HHF851881:HHF851994 HRB851881:HRB851994 IAX851881:IAX851994 IKT851881:IKT851994 IUP851881:IUP851994 JEL851881:JEL851994 JOH851881:JOH851994 JYD851881:JYD851994 KHZ851881:KHZ851994 KRV851881:KRV851994 LBR851881:LBR851994 LLN851881:LLN851994 LVJ851881:LVJ851994 MFF851881:MFF851994 MPB851881:MPB851994 MYX851881:MYX851994 NIT851881:NIT851994 NSP851881:NSP851994 OCL851881:OCL851994 OMH851881:OMH851994 OWD851881:OWD851994 PFZ851881:PFZ851994 PPV851881:PPV851994 PZR851881:PZR851994 QJN851881:QJN851994 QTJ851881:QTJ851994 RDF851881:RDF851994 RNB851881:RNB851994 RWX851881:RWX851994 SGT851881:SGT851994 SQP851881:SQP851994 TAL851881:TAL851994 TKH851881:TKH851994 TUD851881:TUD851994 UDZ851881:UDZ851994 UNV851881:UNV851994 UXR851881:UXR851994 VHN851881:VHN851994 VRJ851881:VRJ851994 WBF851881:WBF851994 WLB851881:WLB851994 WUX851881:WUX851994 IL917417:IL917530 SH917417:SH917530 ACD917417:ACD917530 ALZ917417:ALZ917530 AVV917417:AVV917530 BFR917417:BFR917530 BPN917417:BPN917530 BZJ917417:BZJ917530 CJF917417:CJF917530 CTB917417:CTB917530 DCX917417:DCX917530 DMT917417:DMT917530 DWP917417:DWP917530 EGL917417:EGL917530 EQH917417:EQH917530 FAD917417:FAD917530 FJZ917417:FJZ917530 FTV917417:FTV917530 GDR917417:GDR917530 GNN917417:GNN917530 GXJ917417:GXJ917530 HHF917417:HHF917530 HRB917417:HRB917530 IAX917417:IAX917530 IKT917417:IKT917530 IUP917417:IUP917530 JEL917417:JEL917530 JOH917417:JOH917530 JYD917417:JYD917530 KHZ917417:KHZ917530 KRV917417:KRV917530 LBR917417:LBR917530 LLN917417:LLN917530 LVJ917417:LVJ917530 MFF917417:MFF917530 MPB917417:MPB917530 MYX917417:MYX917530 NIT917417:NIT917530 NSP917417:NSP917530 OCL917417:OCL917530 OMH917417:OMH917530 OWD917417:OWD917530 PFZ917417:PFZ917530 PPV917417:PPV917530 PZR917417:PZR917530 QJN917417:QJN917530 QTJ917417:QTJ917530 RDF917417:RDF917530 RNB917417:RNB917530 RWX917417:RWX917530 SGT917417:SGT917530 SQP917417:SQP917530 TAL917417:TAL917530 TKH917417:TKH917530 TUD917417:TUD917530 UDZ917417:UDZ917530 UNV917417:UNV917530 UXR917417:UXR917530 VHN917417:VHN917530 VRJ917417:VRJ917530 WBF917417:WBF917530 WLB917417:WLB917530 WUX917417:WUX917530 IL982953:IL983066 SH982953:SH983066 ACD982953:ACD983066 ALZ982953:ALZ983066 AVV982953:AVV983066 BFR982953:BFR983066 BPN982953:BPN983066 BZJ982953:BZJ983066 CJF982953:CJF983066 CTB982953:CTB983066 DCX982953:DCX983066 DMT982953:DMT983066 DWP982953:DWP983066 EGL982953:EGL983066 EQH982953:EQH983066 FAD982953:FAD983066 FJZ982953:FJZ983066 FTV982953:FTV983066 GDR982953:GDR983066 GNN982953:GNN983066 GXJ982953:GXJ983066 HHF982953:HHF983066 HRB982953:HRB983066 IAX982953:IAX983066 IKT982953:IKT983066 IUP982953:IUP983066 JEL982953:JEL983066 JOH982953:JOH983066 JYD982953:JYD983066 KHZ982953:KHZ983066 KRV982953:KRV983066 LBR982953:LBR983066 LLN982953:LLN983066 LVJ982953:LVJ983066 MFF982953:MFF983066 MPB982953:MPB983066 MYX982953:MYX983066 NIT982953:NIT983066 NSP982953:NSP983066 OCL982953:OCL983066 OMH982953:OMH983066 OWD982953:OWD983066 PFZ982953:PFZ983066 PPV982953:PPV983066 PZR982953:PZR983066 QJN982953:QJN983066 QTJ982953:QTJ983066 RDF982953:RDF983066 RNB982953:RNB983066 RWX982953:RWX983066 SGT982953:SGT983066 SQP982953:SQP983066 TAL982953:TAL983066 TKH982953:TKH983066 TUD982953:TUD983066 UDZ982953:UDZ983066 UNV982953:UNV983066 UXR982953:UXR983066 VHN982953:VHN983066 VRJ982953:VRJ983066 WBF982953:WBF983066 WLB982953:WLB983066 WUX982953:WUX983066 C982953:C983066 C917417:C917530 C851881:C851994 C786345:C786458 C720809:C720922 C655273:C655386 C589737:C589850 C524201:C524314 C458665:C458778 C393129:C393242 C327593:C327706 C262057:C262170 C196521:C196634 C130985:C131098 C65449:C65562 WLB3:WLB19 WUX3:WUX19 IL3:IL19 SH3:SH19 ACD3:ACD19 ALZ3:ALZ19 AVV3:AVV19 BFR3:BFR19 BPN3:BPN19 BZJ3:BZJ19 CJF3:CJF19 CTB3:CTB19 DCX3:DCX19 DMT3:DMT19 DWP3:DWP19 EGL3:EGL19 EQH3:EQH19 FAD3:FAD19 FJZ3:FJZ19 FTV3:FTV19 GDR3:GDR19 GNN3:GNN19 GXJ3:GXJ19 HHF3:HHF19 HRB3:HRB19 IAX3:IAX19 IKT3:IKT19 IUP3:IUP19 JEL3:JEL19 JOH3:JOH19 JYD3:JYD19 KHZ3:KHZ19 KRV3:KRV19 LBR3:LBR19 LLN3:LLN19 LVJ3:LVJ19 MFF3:MFF19 MPB3:MPB19 MYX3:MYX19 NIT3:NIT19 NSP3:NSP19 OCL3:OCL19 OMH3:OMH19 OWD3:OWD19 PFZ3:PFZ19 PPV3:PPV19 PZR3:PZR19 QJN3:QJN19 QTJ3:QTJ19 RDF3:RDF19 RNB3:RNB19 RWX3:RWX19 SGT3:SGT19 SQP3:SQP19 TAL3:TAL19 TKH3:TKH19 TUD3:TUD19 UDZ3:UDZ19 UNV3:UNV19 UXR3:UXR19 VHN3:VHN19 VRJ3:VRJ19 WBF3:WBF19" xr:uid="{E926C239-0727-4D70-BD65-13054FE184E5}">
      <formula1>"Statutory, Full Cost Recovery, Discretionary"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A0E8-F17D-435A-A0BE-F25FE8781876}">
  <sheetPr>
    <pageSetUpPr fitToPage="1"/>
  </sheetPr>
  <dimension ref="A1:L14"/>
  <sheetViews>
    <sheetView tabSelected="1" zoomScaleNormal="100" zoomScaleSheetLayoutView="70" workbookViewId="0">
      <selection sqref="A1:B1"/>
    </sheetView>
  </sheetViews>
  <sheetFormatPr defaultColWidth="9.1796875" defaultRowHeight="15" customHeight="1" x14ac:dyDescent="0.35"/>
  <cols>
    <col min="1" max="1" width="5.7265625" style="7" customWidth="1"/>
    <col min="2" max="2" width="61.26953125" style="6" customWidth="1"/>
    <col min="3" max="3" width="23.81640625" style="5" customWidth="1"/>
    <col min="4" max="4" width="16" style="3" customWidth="1"/>
    <col min="5" max="5" width="10.54296875" style="3" hidden="1" customWidth="1"/>
    <col min="6" max="6" width="16.54296875" style="3" customWidth="1"/>
    <col min="7" max="7" width="3.1796875" style="4" customWidth="1"/>
    <col min="8" max="8" width="16" style="3" customWidth="1"/>
    <col min="9" max="9" width="10.453125" style="3" hidden="1" customWidth="1"/>
    <col min="10" max="10" width="16.54296875" style="3" customWidth="1"/>
    <col min="11" max="11" width="11.7265625" style="2" customWidth="1"/>
    <col min="12" max="12" width="10.81640625" style="2" customWidth="1"/>
    <col min="13" max="16384" width="9.1796875" style="1"/>
  </cols>
  <sheetData>
    <row r="1" spans="1:12" s="25" customFormat="1" ht="76" x14ac:dyDescent="0.4">
      <c r="A1" s="520" t="s">
        <v>1</v>
      </c>
      <c r="B1" s="521"/>
      <c r="C1" s="26" t="s">
        <v>2</v>
      </c>
      <c r="D1" s="26" t="s">
        <v>3</v>
      </c>
      <c r="E1" s="26" t="s">
        <v>4</v>
      </c>
      <c r="F1" s="26" t="s">
        <v>5</v>
      </c>
      <c r="G1" s="26"/>
      <c r="H1" s="26" t="s">
        <v>6</v>
      </c>
      <c r="I1" s="26" t="s">
        <v>4</v>
      </c>
      <c r="J1" s="26" t="s">
        <v>7</v>
      </c>
      <c r="K1" s="522" t="s">
        <v>8</v>
      </c>
      <c r="L1" s="522"/>
    </row>
    <row r="2" spans="1:12" ht="15" customHeight="1" x14ac:dyDescent="0.35">
      <c r="A2" s="24"/>
      <c r="B2" s="24"/>
      <c r="C2" s="24"/>
      <c r="D2" s="22" t="s">
        <v>9</v>
      </c>
      <c r="E2" s="22" t="s">
        <v>9</v>
      </c>
      <c r="F2" s="22" t="s">
        <v>9</v>
      </c>
      <c r="G2" s="23"/>
      <c r="H2" s="22" t="s">
        <v>9</v>
      </c>
      <c r="I2" s="22" t="s">
        <v>9</v>
      </c>
      <c r="J2" s="22" t="s">
        <v>9</v>
      </c>
      <c r="K2" s="21" t="s">
        <v>9</v>
      </c>
      <c r="L2" s="20" t="s">
        <v>10</v>
      </c>
    </row>
    <row r="3" spans="1:12" ht="15" customHeight="1" x14ac:dyDescent="0.35">
      <c r="A3" s="14"/>
      <c r="B3" s="19"/>
      <c r="C3" s="12"/>
      <c r="D3" s="10"/>
      <c r="E3" s="10"/>
      <c r="F3" s="10"/>
      <c r="G3" s="11"/>
      <c r="H3" s="10"/>
      <c r="I3" s="10"/>
      <c r="J3" s="10"/>
      <c r="K3" s="18"/>
      <c r="L3" s="18"/>
    </row>
    <row r="4" spans="1:12" ht="15" customHeight="1" x14ac:dyDescent="0.35">
      <c r="A4" s="14">
        <v>1</v>
      </c>
      <c r="B4" s="17" t="s">
        <v>11</v>
      </c>
      <c r="C4" s="16" t="s">
        <v>12</v>
      </c>
      <c r="D4" s="523" t="s">
        <v>13</v>
      </c>
      <c r="E4" s="524"/>
      <c r="F4" s="525"/>
      <c r="G4" s="15"/>
      <c r="H4" s="523" t="s">
        <v>13</v>
      </c>
      <c r="I4" s="524"/>
      <c r="J4" s="525"/>
      <c r="K4" s="9"/>
      <c r="L4" s="8"/>
    </row>
    <row r="5" spans="1:12" ht="15" customHeight="1" x14ac:dyDescent="0.35">
      <c r="A5" s="14">
        <f t="shared" ref="A5:A14" si="0">1+A4</f>
        <v>2</v>
      </c>
      <c r="B5" s="17" t="s">
        <v>14</v>
      </c>
      <c r="C5" s="16" t="s">
        <v>12</v>
      </c>
      <c r="D5" s="10">
        <v>22.44</v>
      </c>
      <c r="E5" s="15"/>
      <c r="F5" s="15">
        <f>SUM(D5:E5)</f>
        <v>22.44</v>
      </c>
      <c r="G5" s="15"/>
      <c r="H5" s="10">
        <f>MROUND((D5*(1+Sheet1!$C$3)),0.5)+0.56</f>
        <v>23.56</v>
      </c>
      <c r="I5" s="10"/>
      <c r="J5" s="10">
        <f>SUM(H5:I5)</f>
        <v>23.56</v>
      </c>
      <c r="K5" s="9">
        <f>J5-F5</f>
        <v>1.1199999999999974</v>
      </c>
      <c r="L5" s="8">
        <f>IF(F5="","NEW",K5/F5)</f>
        <v>4.9910873440285088E-2</v>
      </c>
    </row>
    <row r="6" spans="1:12" ht="15" customHeight="1" x14ac:dyDescent="0.35">
      <c r="A6" s="14">
        <f t="shared" si="0"/>
        <v>3</v>
      </c>
      <c r="B6" s="17" t="s">
        <v>15</v>
      </c>
      <c r="C6" s="16" t="s">
        <v>12</v>
      </c>
      <c r="D6" s="523" t="s">
        <v>13</v>
      </c>
      <c r="E6" s="524"/>
      <c r="F6" s="525"/>
      <c r="G6" s="15"/>
      <c r="H6" s="523" t="s">
        <v>13</v>
      </c>
      <c r="I6" s="524"/>
      <c r="J6" s="525"/>
      <c r="K6" s="9"/>
      <c r="L6" s="8"/>
    </row>
    <row r="7" spans="1:12" ht="15" customHeight="1" x14ac:dyDescent="0.35">
      <c r="A7" s="14">
        <f t="shared" si="0"/>
        <v>4</v>
      </c>
      <c r="B7" s="17" t="s">
        <v>16</v>
      </c>
      <c r="C7" s="16" t="s">
        <v>12</v>
      </c>
      <c r="D7" s="10">
        <v>5.4</v>
      </c>
      <c r="E7" s="15"/>
      <c r="F7" s="15">
        <f t="shared" ref="F7:F14" si="1">SUM(D7:E7)</f>
        <v>5.4</v>
      </c>
      <c r="G7" s="15"/>
      <c r="H7" s="10">
        <f>MROUND((D7*(1+Sheet1!$C$3)),0.5)</f>
        <v>5.5</v>
      </c>
      <c r="I7" s="10"/>
      <c r="J7" s="10">
        <f t="shared" ref="J7:J14" si="2">SUM(H7:I7)</f>
        <v>5.5</v>
      </c>
      <c r="K7" s="9">
        <f t="shared" ref="K7:K14" si="3">J7-F7</f>
        <v>9.9999999999999645E-2</v>
      </c>
      <c r="L7" s="8">
        <f t="shared" ref="L7:L12" si="4">IF(F7="","NEW",K7/F7)</f>
        <v>1.8518518518518452E-2</v>
      </c>
    </row>
    <row r="8" spans="1:12" ht="15" customHeight="1" x14ac:dyDescent="0.35">
      <c r="A8" s="14">
        <f t="shared" si="0"/>
        <v>5</v>
      </c>
      <c r="B8" s="17" t="s">
        <v>17</v>
      </c>
      <c r="C8" s="16" t="s">
        <v>12</v>
      </c>
      <c r="D8" s="10">
        <v>6.5</v>
      </c>
      <c r="E8" s="15"/>
      <c r="F8" s="15">
        <f t="shared" si="1"/>
        <v>6.5</v>
      </c>
      <c r="G8" s="15"/>
      <c r="H8" s="10">
        <f>MROUND((D8*(1+Sheet1!$C$3)),1)</f>
        <v>7</v>
      </c>
      <c r="I8" s="10"/>
      <c r="J8" s="10">
        <f t="shared" si="2"/>
        <v>7</v>
      </c>
      <c r="K8" s="9">
        <f t="shared" si="3"/>
        <v>0.5</v>
      </c>
      <c r="L8" s="8">
        <f t="shared" si="4"/>
        <v>7.6923076923076927E-2</v>
      </c>
    </row>
    <row r="9" spans="1:12" ht="15" customHeight="1" x14ac:dyDescent="0.35">
      <c r="A9" s="14">
        <f t="shared" si="0"/>
        <v>6</v>
      </c>
      <c r="B9" s="17" t="s">
        <v>18</v>
      </c>
      <c r="C9" s="16" t="s">
        <v>19</v>
      </c>
      <c r="D9" s="10">
        <v>172.8</v>
      </c>
      <c r="E9" s="15"/>
      <c r="F9" s="15">
        <f t="shared" si="1"/>
        <v>172.8</v>
      </c>
      <c r="G9" s="15"/>
      <c r="H9" s="10">
        <f>MROUND((D9*(1+Sheet1!$C$3)),0.1)</f>
        <v>177.60000000000002</v>
      </c>
      <c r="I9" s="10"/>
      <c r="J9" s="10">
        <f t="shared" si="2"/>
        <v>177.60000000000002</v>
      </c>
      <c r="K9" s="9">
        <f t="shared" si="3"/>
        <v>4.8000000000000114</v>
      </c>
      <c r="L9" s="8">
        <f t="shared" si="4"/>
        <v>2.7777777777777842E-2</v>
      </c>
    </row>
    <row r="10" spans="1:12" ht="15" customHeight="1" x14ac:dyDescent="0.35">
      <c r="A10" s="14">
        <f t="shared" si="0"/>
        <v>7</v>
      </c>
      <c r="B10" s="17" t="s">
        <v>20</v>
      </c>
      <c r="C10" s="16" t="s">
        <v>19</v>
      </c>
      <c r="D10" s="10">
        <v>78.75</v>
      </c>
      <c r="E10" s="15"/>
      <c r="F10" s="15">
        <f t="shared" si="1"/>
        <v>78.75</v>
      </c>
      <c r="G10" s="15"/>
      <c r="H10" s="10">
        <f>MROUND((D10*(1+Sheet1!$C$3)),0.1)</f>
        <v>80.900000000000006</v>
      </c>
      <c r="I10" s="10"/>
      <c r="J10" s="10">
        <f t="shared" si="2"/>
        <v>80.900000000000006</v>
      </c>
      <c r="K10" s="9">
        <f t="shared" si="3"/>
        <v>2.1500000000000057</v>
      </c>
      <c r="L10" s="8">
        <f t="shared" si="4"/>
        <v>2.7301587301587375E-2</v>
      </c>
    </row>
    <row r="11" spans="1:12" ht="15" customHeight="1" x14ac:dyDescent="0.35">
      <c r="A11" s="14">
        <f t="shared" si="0"/>
        <v>8</v>
      </c>
      <c r="B11" s="17" t="s">
        <v>21</v>
      </c>
      <c r="C11" s="16" t="s">
        <v>19</v>
      </c>
      <c r="D11" s="10">
        <v>96.3</v>
      </c>
      <c r="E11" s="15"/>
      <c r="F11" s="15">
        <f t="shared" si="1"/>
        <v>96.3</v>
      </c>
      <c r="G11" s="15"/>
      <c r="H11" s="10">
        <f>MROUND((D11*(1+Sheet1!$C$3)),0.1)</f>
        <v>98.9</v>
      </c>
      <c r="I11" s="10"/>
      <c r="J11" s="10">
        <f t="shared" si="2"/>
        <v>98.9</v>
      </c>
      <c r="K11" s="9">
        <f t="shared" si="3"/>
        <v>2.6000000000000085</v>
      </c>
      <c r="L11" s="8">
        <f t="shared" si="4"/>
        <v>2.6998961578400919E-2</v>
      </c>
    </row>
    <row r="12" spans="1:12" ht="15" customHeight="1" x14ac:dyDescent="0.35">
      <c r="A12" s="14">
        <f t="shared" si="0"/>
        <v>9</v>
      </c>
      <c r="B12" s="17" t="s">
        <v>22</v>
      </c>
      <c r="C12" s="16" t="s">
        <v>12</v>
      </c>
      <c r="D12" s="10">
        <v>742.5</v>
      </c>
      <c r="E12" s="15"/>
      <c r="F12" s="15">
        <f t="shared" si="1"/>
        <v>742.5</v>
      </c>
      <c r="G12" s="15"/>
      <c r="H12" s="10">
        <f>MROUND((D12*(1+Sheet1!$C$3)),1)+2</f>
        <v>765</v>
      </c>
      <c r="I12" s="10"/>
      <c r="J12" s="10">
        <f t="shared" si="2"/>
        <v>765</v>
      </c>
      <c r="K12" s="9">
        <f t="shared" si="3"/>
        <v>22.5</v>
      </c>
      <c r="L12" s="8">
        <f t="shared" si="4"/>
        <v>3.0303030303030304E-2</v>
      </c>
    </row>
    <row r="13" spans="1:12" ht="15" customHeight="1" x14ac:dyDescent="0.35">
      <c r="A13" s="14">
        <f t="shared" si="0"/>
        <v>10</v>
      </c>
      <c r="B13" s="17" t="s">
        <v>23</v>
      </c>
      <c r="C13" s="16" t="s">
        <v>12</v>
      </c>
      <c r="D13" s="10">
        <v>93.5</v>
      </c>
      <c r="E13" s="15"/>
      <c r="F13" s="15">
        <f t="shared" si="1"/>
        <v>93.5</v>
      </c>
      <c r="G13" s="15"/>
      <c r="H13" s="10">
        <f>MROUND((D13*(1+Sheet1!$C$3)),0.5)+1</f>
        <v>97</v>
      </c>
      <c r="I13" s="10"/>
      <c r="J13" s="10">
        <f t="shared" si="2"/>
        <v>97</v>
      </c>
      <c r="K13" s="9">
        <f t="shared" si="3"/>
        <v>3.5</v>
      </c>
      <c r="L13" s="8">
        <f t="shared" ref="L13:L14" si="5">IF(F13="","NEW",K13/F13)</f>
        <v>3.7433155080213901E-2</v>
      </c>
    </row>
    <row r="14" spans="1:12" ht="15" customHeight="1" x14ac:dyDescent="0.35">
      <c r="A14" s="14">
        <f t="shared" si="0"/>
        <v>11</v>
      </c>
      <c r="B14" s="17" t="s">
        <v>1467</v>
      </c>
      <c r="C14" s="16" t="s">
        <v>12</v>
      </c>
      <c r="D14" s="10">
        <v>71.760000000000005</v>
      </c>
      <c r="E14" s="15"/>
      <c r="F14" s="15">
        <f t="shared" si="1"/>
        <v>71.760000000000005</v>
      </c>
      <c r="G14" s="15"/>
      <c r="H14" s="10">
        <f>MROUND((D14*(1+Sheet1!$C$3)),0.5)+0.5-0.16</f>
        <v>73.84</v>
      </c>
      <c r="I14" s="10"/>
      <c r="J14" s="10">
        <f t="shared" si="2"/>
        <v>73.84</v>
      </c>
      <c r="K14" s="9">
        <f t="shared" si="3"/>
        <v>2.0799999999999983</v>
      </c>
      <c r="L14" s="8">
        <f t="shared" si="5"/>
        <v>2.8985507246376784E-2</v>
      </c>
    </row>
  </sheetData>
  <mergeCells count="6">
    <mergeCell ref="A1:B1"/>
    <mergeCell ref="K1:L1"/>
    <mergeCell ref="D4:F4"/>
    <mergeCell ref="D6:F6"/>
    <mergeCell ref="H4:J4"/>
    <mergeCell ref="H6:J6"/>
  </mergeCells>
  <conditionalFormatting sqref="L4:L14">
    <cfRule type="cellIs" dxfId="45" priority="5" operator="equal">
      <formula>"NEW"</formula>
    </cfRule>
  </conditionalFormatting>
  <dataValidations disablePrompts="1" count="1">
    <dataValidation type="list" allowBlank="1" showInputMessage="1" showErrorMessage="1" sqref="C2:C14" xr:uid="{1CFD41E7-DF8B-4C48-95B8-BF0AE38A91D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72"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08F39-D70D-4070-8C3D-60390249AD7F}">
  <dimension ref="A1:L20"/>
  <sheetViews>
    <sheetView zoomScaleNormal="100" zoomScaleSheetLayoutView="70" workbookViewId="0">
      <selection sqref="A1:B1"/>
    </sheetView>
  </sheetViews>
  <sheetFormatPr defaultColWidth="9.1796875" defaultRowHeight="15" customHeight="1" x14ac:dyDescent="0.35"/>
  <cols>
    <col min="1" max="1" width="5.7265625" style="7" customWidth="1"/>
    <col min="2" max="2" width="69.7265625" style="6" bestFit="1" customWidth="1"/>
    <col min="3" max="3" width="23.81640625" style="5" customWidth="1"/>
    <col min="4" max="4" width="16" style="3" customWidth="1"/>
    <col min="5" max="5" width="10.54296875" style="3" customWidth="1"/>
    <col min="6" max="6" width="16.54296875" style="3" customWidth="1"/>
    <col min="7" max="7" width="3.1796875" style="4" customWidth="1"/>
    <col min="8" max="8" width="16" style="3" customWidth="1"/>
    <col min="9" max="9" width="10.453125" style="3" customWidth="1"/>
    <col min="10" max="10" width="16.54296875" style="3" customWidth="1"/>
    <col min="11" max="11" width="11.7265625" style="2" customWidth="1"/>
    <col min="12" max="12" width="10.81640625" style="2" customWidth="1"/>
    <col min="13" max="16384" width="9.1796875" style="1"/>
  </cols>
  <sheetData>
    <row r="1" spans="1:12" s="25" customFormat="1" ht="76.5" thickBot="1" x14ac:dyDescent="0.45">
      <c r="A1" s="520" t="s">
        <v>642</v>
      </c>
      <c r="B1" s="521"/>
      <c r="C1" s="26" t="s">
        <v>2</v>
      </c>
      <c r="D1" s="26" t="s">
        <v>3</v>
      </c>
      <c r="E1" s="26" t="s">
        <v>4</v>
      </c>
      <c r="F1" s="26" t="s">
        <v>5</v>
      </c>
      <c r="G1" s="26"/>
      <c r="H1" s="26" t="s">
        <v>6</v>
      </c>
      <c r="I1" s="26" t="s">
        <v>4</v>
      </c>
      <c r="J1" s="26" t="s">
        <v>7</v>
      </c>
      <c r="K1" s="522" t="s">
        <v>8</v>
      </c>
      <c r="L1" s="522"/>
    </row>
    <row r="2" spans="1:12" ht="15" customHeight="1" thickTop="1" x14ac:dyDescent="0.35">
      <c r="A2" s="24"/>
      <c r="B2" s="24"/>
      <c r="C2" s="24"/>
      <c r="D2" s="22" t="s">
        <v>9</v>
      </c>
      <c r="E2" s="22" t="s">
        <v>9</v>
      </c>
      <c r="F2" s="22" t="s">
        <v>9</v>
      </c>
      <c r="G2" s="23"/>
      <c r="H2" s="22" t="s">
        <v>9</v>
      </c>
      <c r="I2" s="22" t="s">
        <v>9</v>
      </c>
      <c r="J2" s="22" t="s">
        <v>9</v>
      </c>
      <c r="K2" s="21" t="s">
        <v>9</v>
      </c>
      <c r="L2" s="20" t="s">
        <v>10</v>
      </c>
    </row>
    <row r="3" spans="1:12" ht="38.5" customHeight="1" thickBot="1" x14ac:dyDescent="0.4">
      <c r="A3" s="14"/>
      <c r="B3" s="269" t="s">
        <v>1426</v>
      </c>
      <c r="C3" s="12"/>
      <c r="D3" s="10"/>
      <c r="E3" s="10"/>
      <c r="F3" s="10"/>
      <c r="G3" s="11"/>
      <c r="H3" s="10"/>
      <c r="I3" s="10"/>
      <c r="J3" s="10"/>
      <c r="K3" s="18"/>
      <c r="L3" s="18"/>
    </row>
    <row r="4" spans="1:12" ht="15" customHeight="1" thickTop="1" x14ac:dyDescent="0.35">
      <c r="A4" s="14">
        <v>1</v>
      </c>
      <c r="B4" s="13" t="s">
        <v>1427</v>
      </c>
      <c r="C4" s="12" t="s">
        <v>191</v>
      </c>
      <c r="D4" s="10">
        <v>54</v>
      </c>
      <c r="E4" s="15"/>
      <c r="F4" s="15">
        <f t="shared" ref="F4:F16" si="0">SUM(D4:E4)</f>
        <v>54</v>
      </c>
      <c r="G4" s="15"/>
      <c r="H4" s="10">
        <v>56</v>
      </c>
      <c r="I4" s="10"/>
      <c r="J4" s="10">
        <f t="shared" ref="J4:J14" si="1">SUM(H4:I4)</f>
        <v>56</v>
      </c>
      <c r="K4" s="9">
        <f t="shared" ref="K4:K14" si="2">J4-F4</f>
        <v>2</v>
      </c>
      <c r="L4" s="8">
        <f t="shared" ref="L4:L14" si="3">IF(F4="","NEW",K4/F4)</f>
        <v>3.7037037037037035E-2</v>
      </c>
    </row>
    <row r="5" spans="1:12" ht="15" customHeight="1" x14ac:dyDescent="0.35">
      <c r="A5" s="14">
        <f t="shared" ref="A5:A16" si="4">1+A4</f>
        <v>2</v>
      </c>
      <c r="B5" s="13" t="s">
        <v>1428</v>
      </c>
      <c r="C5" s="12" t="s">
        <v>191</v>
      </c>
      <c r="D5" s="10">
        <v>36</v>
      </c>
      <c r="E5" s="15"/>
      <c r="F5" s="15">
        <f t="shared" si="0"/>
        <v>36</v>
      </c>
      <c r="G5" s="15"/>
      <c r="H5" s="10">
        <f>ROUNDUP((D5*(1+Sheet1!$C$3)),0.5)</f>
        <v>37</v>
      </c>
      <c r="I5" s="10"/>
      <c r="J5" s="10">
        <f t="shared" si="1"/>
        <v>37</v>
      </c>
      <c r="K5" s="9">
        <f t="shared" si="2"/>
        <v>1</v>
      </c>
      <c r="L5" s="8">
        <f t="shared" si="3"/>
        <v>2.7777777777777776E-2</v>
      </c>
    </row>
    <row r="6" spans="1:12" ht="15" customHeight="1" x14ac:dyDescent="0.35">
      <c r="A6" s="14">
        <f t="shared" si="4"/>
        <v>3</v>
      </c>
      <c r="B6" s="13" t="s">
        <v>1429</v>
      </c>
      <c r="C6" s="12" t="s">
        <v>191</v>
      </c>
      <c r="D6" s="10">
        <v>0.55000000000000004</v>
      </c>
      <c r="E6" s="15"/>
      <c r="F6" s="15">
        <f t="shared" si="0"/>
        <v>0.55000000000000004</v>
      </c>
      <c r="G6" s="15"/>
      <c r="H6" s="10">
        <v>0.7</v>
      </c>
      <c r="I6" s="10"/>
      <c r="J6" s="10">
        <f t="shared" si="1"/>
        <v>0.7</v>
      </c>
      <c r="K6" s="9">
        <f t="shared" si="2"/>
        <v>0.14999999999999991</v>
      </c>
      <c r="L6" s="8">
        <f t="shared" si="3"/>
        <v>0.27272727272727254</v>
      </c>
    </row>
    <row r="7" spans="1:12" ht="15" customHeight="1" x14ac:dyDescent="0.35">
      <c r="A7" s="14">
        <f t="shared" si="4"/>
        <v>4</v>
      </c>
      <c r="B7" s="13" t="s">
        <v>1430</v>
      </c>
      <c r="C7" s="12" t="s">
        <v>191</v>
      </c>
      <c r="D7" s="10">
        <v>76</v>
      </c>
      <c r="E7" s="15"/>
      <c r="F7" s="15">
        <f t="shared" si="0"/>
        <v>76</v>
      </c>
      <c r="G7" s="15"/>
      <c r="H7" s="10">
        <v>80</v>
      </c>
      <c r="I7" s="10"/>
      <c r="J7" s="10">
        <f t="shared" si="1"/>
        <v>80</v>
      </c>
      <c r="K7" s="9">
        <f t="shared" si="2"/>
        <v>4</v>
      </c>
      <c r="L7" s="8">
        <f t="shared" si="3"/>
        <v>5.2631578947368418E-2</v>
      </c>
    </row>
    <row r="8" spans="1:12" ht="15" customHeight="1" x14ac:dyDescent="0.35">
      <c r="A8" s="14">
        <f t="shared" si="4"/>
        <v>5</v>
      </c>
      <c r="B8" s="13" t="s">
        <v>1431</v>
      </c>
      <c r="C8" s="12" t="s">
        <v>191</v>
      </c>
      <c r="D8" s="10">
        <v>43</v>
      </c>
      <c r="E8" s="15"/>
      <c r="F8" s="15">
        <f t="shared" si="0"/>
        <v>43</v>
      </c>
      <c r="G8" s="15"/>
      <c r="H8" s="10">
        <f>ROUNDUP((D8*(1+Sheet1!$C$3)),0.5)</f>
        <v>45</v>
      </c>
      <c r="I8" s="10"/>
      <c r="J8" s="10">
        <f t="shared" si="1"/>
        <v>45</v>
      </c>
      <c r="K8" s="9">
        <f t="shared" si="2"/>
        <v>2</v>
      </c>
      <c r="L8" s="8">
        <f t="shared" si="3"/>
        <v>4.6511627906976744E-2</v>
      </c>
    </row>
    <row r="9" spans="1:12" ht="15" customHeight="1" x14ac:dyDescent="0.35">
      <c r="A9" s="14">
        <f t="shared" si="4"/>
        <v>6</v>
      </c>
      <c r="B9" s="13" t="s">
        <v>1432</v>
      </c>
      <c r="C9" s="12" t="s">
        <v>191</v>
      </c>
      <c r="D9" s="10">
        <v>0.66</v>
      </c>
      <c r="E9" s="15"/>
      <c r="F9" s="15">
        <f t="shared" si="0"/>
        <v>0.66</v>
      </c>
      <c r="G9" s="15"/>
      <c r="H9" s="10">
        <v>0.75</v>
      </c>
      <c r="I9" s="10"/>
      <c r="J9" s="10">
        <f t="shared" si="1"/>
        <v>0.75</v>
      </c>
      <c r="K9" s="9">
        <f t="shared" si="2"/>
        <v>8.9999999999999969E-2</v>
      </c>
      <c r="L9" s="8">
        <f t="shared" si="3"/>
        <v>0.1363636363636363</v>
      </c>
    </row>
    <row r="10" spans="1:12" ht="15" customHeight="1" x14ac:dyDescent="0.35">
      <c r="A10" s="14">
        <f t="shared" si="4"/>
        <v>7</v>
      </c>
      <c r="B10" s="13" t="s">
        <v>1433</v>
      </c>
      <c r="C10" s="12" t="s">
        <v>191</v>
      </c>
      <c r="D10" s="10">
        <v>82</v>
      </c>
      <c r="E10" s="15"/>
      <c r="F10" s="15">
        <f t="shared" si="0"/>
        <v>82</v>
      </c>
      <c r="G10" s="15"/>
      <c r="H10" s="10">
        <f>ROUNDUP((D10*(1+Sheet1!$C$3)),0.5)</f>
        <v>85</v>
      </c>
      <c r="I10" s="10"/>
      <c r="J10" s="10">
        <f t="shared" si="1"/>
        <v>85</v>
      </c>
      <c r="K10" s="9">
        <f t="shared" si="2"/>
        <v>3</v>
      </c>
      <c r="L10" s="8">
        <f t="shared" si="3"/>
        <v>3.6585365853658534E-2</v>
      </c>
    </row>
    <row r="11" spans="1:12" ht="15" customHeight="1" x14ac:dyDescent="0.35">
      <c r="A11" s="14">
        <f t="shared" si="4"/>
        <v>8</v>
      </c>
      <c r="B11" s="13" t="s">
        <v>1434</v>
      </c>
      <c r="C11" s="12" t="s">
        <v>191</v>
      </c>
      <c r="D11" s="10">
        <v>49</v>
      </c>
      <c r="E11" s="15"/>
      <c r="F11" s="15">
        <f t="shared" si="0"/>
        <v>49</v>
      </c>
      <c r="G11" s="15"/>
      <c r="H11" s="10">
        <v>50</v>
      </c>
      <c r="I11" s="10"/>
      <c r="J11" s="10">
        <f t="shared" si="1"/>
        <v>50</v>
      </c>
      <c r="K11" s="9">
        <f t="shared" si="2"/>
        <v>1</v>
      </c>
      <c r="L11" s="8">
        <f t="shared" si="3"/>
        <v>2.0408163265306121E-2</v>
      </c>
    </row>
    <row r="12" spans="1:12" ht="15" customHeight="1" x14ac:dyDescent="0.35">
      <c r="A12" s="14">
        <f t="shared" si="4"/>
        <v>9</v>
      </c>
      <c r="B12" s="13" t="s">
        <v>1435</v>
      </c>
      <c r="C12" s="12" t="s">
        <v>191</v>
      </c>
      <c r="D12" s="10">
        <v>95</v>
      </c>
      <c r="E12" s="15"/>
      <c r="F12" s="15">
        <f t="shared" si="0"/>
        <v>95</v>
      </c>
      <c r="G12" s="15"/>
      <c r="H12" s="10">
        <v>100</v>
      </c>
      <c r="I12" s="10"/>
      <c r="J12" s="10">
        <f t="shared" si="1"/>
        <v>100</v>
      </c>
      <c r="K12" s="9">
        <f t="shared" si="2"/>
        <v>5</v>
      </c>
      <c r="L12" s="8">
        <f t="shared" si="3"/>
        <v>5.2631578947368418E-2</v>
      </c>
    </row>
    <row r="13" spans="1:12" ht="15" customHeight="1" x14ac:dyDescent="0.35">
      <c r="A13" s="14">
        <f t="shared" si="4"/>
        <v>10</v>
      </c>
      <c r="B13" s="13" t="s">
        <v>1436</v>
      </c>
      <c r="C13" s="12" t="s">
        <v>191</v>
      </c>
      <c r="D13" s="10">
        <v>55</v>
      </c>
      <c r="E13" s="15"/>
      <c r="F13" s="15">
        <f t="shared" si="0"/>
        <v>55</v>
      </c>
      <c r="G13" s="15"/>
      <c r="H13" s="10">
        <v>60</v>
      </c>
      <c r="I13" s="10"/>
      <c r="J13" s="10">
        <f t="shared" si="1"/>
        <v>60</v>
      </c>
      <c r="K13" s="9">
        <f t="shared" si="2"/>
        <v>5</v>
      </c>
      <c r="L13" s="8">
        <f t="shared" si="3"/>
        <v>9.0909090909090912E-2</v>
      </c>
    </row>
    <row r="14" spans="1:12" ht="15" customHeight="1" x14ac:dyDescent="0.35">
      <c r="A14" s="14">
        <f t="shared" si="4"/>
        <v>11</v>
      </c>
      <c r="B14" s="13" t="s">
        <v>1437</v>
      </c>
      <c r="C14" s="12" t="s">
        <v>191</v>
      </c>
      <c r="D14" s="10">
        <v>0.77</v>
      </c>
      <c r="E14" s="15"/>
      <c r="F14" s="15">
        <f t="shared" si="0"/>
        <v>0.77</v>
      </c>
      <c r="G14" s="15"/>
      <c r="H14" s="10">
        <v>0.85</v>
      </c>
      <c r="I14" s="10"/>
      <c r="J14" s="10">
        <f t="shared" si="1"/>
        <v>0.85</v>
      </c>
      <c r="K14" s="9">
        <f t="shared" si="2"/>
        <v>7.999999999999996E-2</v>
      </c>
      <c r="L14" s="8">
        <f t="shared" si="3"/>
        <v>0.10389610389610385</v>
      </c>
    </row>
    <row r="15" spans="1:12" ht="15" customHeight="1" x14ac:dyDescent="0.35">
      <c r="A15" s="14">
        <f t="shared" si="4"/>
        <v>12</v>
      </c>
      <c r="B15" s="13" t="s">
        <v>1438</v>
      </c>
      <c r="C15" s="12" t="s">
        <v>191</v>
      </c>
      <c r="D15" s="10">
        <v>79.5</v>
      </c>
      <c r="E15" s="15"/>
      <c r="F15" s="15">
        <f t="shared" si="0"/>
        <v>79.5</v>
      </c>
      <c r="G15" s="15"/>
      <c r="H15" s="10">
        <v>85</v>
      </c>
      <c r="I15" s="10"/>
      <c r="J15" s="10">
        <f t="shared" ref="J15:J16" si="5">SUM(H15:I15)</f>
        <v>85</v>
      </c>
      <c r="K15" s="9">
        <f t="shared" ref="K15" si="6">J15-F15</f>
        <v>5.5</v>
      </c>
      <c r="L15" s="8">
        <f t="shared" ref="L15" si="7">IF(F15="","NEW",K15/F15)</f>
        <v>6.9182389937106917E-2</v>
      </c>
    </row>
    <row r="16" spans="1:12" ht="15" customHeight="1" x14ac:dyDescent="0.35">
      <c r="A16" s="14">
        <f t="shared" si="4"/>
        <v>13</v>
      </c>
      <c r="B16" s="13" t="s">
        <v>1439</v>
      </c>
      <c r="C16" s="12" t="s">
        <v>19</v>
      </c>
      <c r="D16" s="10">
        <v>15</v>
      </c>
      <c r="E16" s="15"/>
      <c r="F16" s="15">
        <f t="shared" si="0"/>
        <v>15</v>
      </c>
      <c r="G16" s="15"/>
      <c r="H16" s="10">
        <v>16</v>
      </c>
      <c r="I16" s="10"/>
      <c r="J16" s="10">
        <f t="shared" si="5"/>
        <v>16</v>
      </c>
      <c r="K16" s="9">
        <f t="shared" ref="K16" si="8">J16-F16</f>
        <v>1</v>
      </c>
      <c r="L16" s="8">
        <f t="shared" ref="L16" si="9">IF(F16="","NEW",K16/F16)</f>
        <v>6.6666666666666666E-2</v>
      </c>
    </row>
    <row r="17" spans="1:12" ht="15" customHeight="1" x14ac:dyDescent="0.35">
      <c r="A17" s="14"/>
      <c r="B17" s="13"/>
      <c r="C17" s="12"/>
      <c r="D17" s="11"/>
      <c r="E17" s="11"/>
      <c r="F17" s="11"/>
      <c r="G17" s="11"/>
      <c r="H17" s="10"/>
      <c r="I17" s="10"/>
      <c r="J17" s="10"/>
      <c r="K17" s="9"/>
      <c r="L17" s="8"/>
    </row>
    <row r="18" spans="1:12" ht="15" customHeight="1" thickBot="1" x14ac:dyDescent="0.4">
      <c r="A18" s="14"/>
      <c r="B18" s="294" t="s">
        <v>1440</v>
      </c>
      <c r="C18" s="12"/>
      <c r="D18" s="10"/>
      <c r="E18" s="10"/>
      <c r="F18" s="10"/>
      <c r="G18" s="11"/>
      <c r="H18" s="10"/>
      <c r="I18" s="10"/>
      <c r="J18" s="10"/>
      <c r="K18" s="9"/>
      <c r="L18" s="8"/>
    </row>
    <row r="19" spans="1:12" ht="16" customHeight="1" thickTop="1" x14ac:dyDescent="0.35">
      <c r="A19" s="14">
        <f>A16+1</f>
        <v>14</v>
      </c>
      <c r="B19" s="13" t="s">
        <v>1441</v>
      </c>
      <c r="C19" s="16" t="s">
        <v>12</v>
      </c>
      <c r="D19" s="736" t="s">
        <v>1442</v>
      </c>
      <c r="E19" s="737"/>
      <c r="F19" s="737"/>
      <c r="G19" s="737"/>
      <c r="H19" s="737"/>
      <c r="I19" s="737"/>
      <c r="J19" s="738"/>
      <c r="K19" s="9"/>
      <c r="L19" s="8"/>
    </row>
    <row r="20" spans="1:12" ht="15" customHeight="1" x14ac:dyDescent="0.35">
      <c r="A20" s="14"/>
      <c r="B20" s="13"/>
      <c r="C20" s="12"/>
      <c r="D20" s="10"/>
      <c r="E20" s="10"/>
      <c r="F20" s="10"/>
      <c r="G20" s="11"/>
      <c r="H20" s="10"/>
      <c r="I20" s="10"/>
      <c r="J20" s="10"/>
      <c r="K20" s="9"/>
      <c r="L20" s="8"/>
    </row>
  </sheetData>
  <mergeCells count="3">
    <mergeCell ref="D19:J19"/>
    <mergeCell ref="A1:B1"/>
    <mergeCell ref="K1:L1"/>
  </mergeCells>
  <conditionalFormatting sqref="L4:L20">
    <cfRule type="cellIs" dxfId="1" priority="5" operator="equal">
      <formula>"NEW"</formula>
    </cfRule>
  </conditionalFormatting>
  <dataValidations disablePrompts="1" count="1">
    <dataValidation type="list" allowBlank="1" showInputMessage="1" showErrorMessage="1" sqref="C2:C20" xr:uid="{8AF8D1DF-1E9F-4779-BC97-C7E927F31BE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7CB9D-BCB1-4E56-82A3-F2C33B6F0A65}">
  <dimension ref="A1:L23"/>
  <sheetViews>
    <sheetView zoomScaleNormal="100" zoomScaleSheetLayoutView="70" workbookViewId="0">
      <selection sqref="A1:B1"/>
    </sheetView>
  </sheetViews>
  <sheetFormatPr defaultColWidth="9" defaultRowHeight="20.25" customHeight="1" x14ac:dyDescent="0.35"/>
  <cols>
    <col min="1" max="1" width="7.81640625" style="57" bestFit="1" customWidth="1"/>
    <col min="2" max="2" width="80.7265625" style="47" customWidth="1"/>
    <col min="3" max="3" width="24.453125" style="106" customWidth="1"/>
    <col min="4" max="4" width="15.81640625" style="52" customWidth="1"/>
    <col min="5" max="5" width="10.54296875" style="52" customWidth="1"/>
    <col min="6" max="6" width="16.26953125" style="52" customWidth="1"/>
    <col min="7" max="7" width="3.453125" style="52" customWidth="1"/>
    <col min="8" max="8" width="16.26953125" style="52" customWidth="1"/>
    <col min="9" max="9" width="10.54296875" style="52" customWidth="1"/>
    <col min="10" max="10" width="16.26953125" style="52" customWidth="1"/>
    <col min="11" max="11" width="12.26953125" style="49" customWidth="1"/>
    <col min="12" max="12" width="11.54296875" style="50" customWidth="1"/>
    <col min="13" max="16384" width="9" style="36"/>
  </cols>
  <sheetData>
    <row r="1" spans="1:12" s="25" customFormat="1" ht="76.5" thickBot="1" x14ac:dyDescent="0.45">
      <c r="A1" s="520" t="s">
        <v>1</v>
      </c>
      <c r="B1" s="520"/>
      <c r="C1" s="26" t="s">
        <v>2</v>
      </c>
      <c r="D1" s="26" t="s">
        <v>3</v>
      </c>
      <c r="E1" s="26" t="s">
        <v>4</v>
      </c>
      <c r="F1" s="26" t="s">
        <v>5</v>
      </c>
      <c r="G1" s="26"/>
      <c r="H1" s="26" t="s">
        <v>6</v>
      </c>
      <c r="I1" s="26" t="s">
        <v>4</v>
      </c>
      <c r="J1" s="26" t="s">
        <v>7</v>
      </c>
      <c r="K1" s="522" t="s">
        <v>8</v>
      </c>
      <c r="L1" s="522"/>
    </row>
    <row r="2" spans="1:12" s="61" customFormat="1" ht="16" thickTop="1" x14ac:dyDescent="0.35">
      <c r="A2" s="59"/>
      <c r="B2" s="100"/>
      <c r="C2" s="12"/>
      <c r="D2" s="33" t="s">
        <v>9</v>
      </c>
      <c r="E2" s="33" t="s">
        <v>9</v>
      </c>
      <c r="F2" s="33" t="s">
        <v>9</v>
      </c>
      <c r="G2" s="34"/>
      <c r="H2" s="33" t="s">
        <v>9</v>
      </c>
      <c r="I2" s="33" t="s">
        <v>9</v>
      </c>
      <c r="J2" s="33" t="s">
        <v>9</v>
      </c>
      <c r="K2" s="21" t="s">
        <v>9</v>
      </c>
      <c r="L2" s="20" t="s">
        <v>10</v>
      </c>
    </row>
    <row r="3" spans="1:12" ht="15.5" x14ac:dyDescent="0.35">
      <c r="A3" s="101"/>
      <c r="B3" s="102"/>
      <c r="C3" s="12"/>
      <c r="D3" s="103"/>
      <c r="E3" s="103"/>
      <c r="F3" s="103"/>
      <c r="G3" s="103"/>
      <c r="H3" s="103"/>
      <c r="I3" s="103"/>
      <c r="J3" s="103"/>
      <c r="K3" s="33"/>
      <c r="L3" s="20"/>
    </row>
    <row r="4" spans="1:12" ht="15" customHeight="1" thickBot="1" x14ac:dyDescent="0.4">
      <c r="A4" s="136"/>
      <c r="B4" s="269" t="s">
        <v>1443</v>
      </c>
      <c r="C4" s="12"/>
      <c r="D4" s="103"/>
      <c r="E4" s="105"/>
      <c r="F4" s="103"/>
      <c r="G4" s="105"/>
      <c r="H4" s="103"/>
      <c r="I4" s="105"/>
      <c r="J4" s="103"/>
      <c r="K4" s="9"/>
      <c r="L4" s="8"/>
    </row>
    <row r="5" spans="1:12" ht="47" thickTop="1" x14ac:dyDescent="0.35">
      <c r="A5" s="136"/>
      <c r="B5" s="86" t="s">
        <v>1444</v>
      </c>
      <c r="C5" s="12"/>
      <c r="D5" s="103"/>
      <c r="E5" s="105"/>
      <c r="F5" s="103"/>
      <c r="G5" s="105"/>
      <c r="H5" s="103"/>
      <c r="I5" s="105"/>
      <c r="J5" s="103"/>
      <c r="K5" s="9"/>
      <c r="L5" s="8"/>
    </row>
    <row r="6" spans="1:12" ht="15" customHeight="1" x14ac:dyDescent="0.35">
      <c r="A6" s="136"/>
      <c r="B6" s="86"/>
      <c r="C6" s="12"/>
      <c r="D6" s="103"/>
      <c r="E6" s="105"/>
      <c r="F6" s="103"/>
      <c r="G6" s="105"/>
      <c r="H6" s="103"/>
      <c r="I6" s="105"/>
      <c r="J6" s="103"/>
      <c r="K6" s="9"/>
      <c r="L6" s="8"/>
    </row>
    <row r="7" spans="1:12" ht="15" customHeight="1" thickBot="1" x14ac:dyDescent="0.4">
      <c r="A7" s="136"/>
      <c r="B7" s="264" t="s">
        <v>1445</v>
      </c>
      <c r="C7" s="12"/>
      <c r="D7" s="103"/>
      <c r="E7" s="105"/>
      <c r="F7" s="103"/>
      <c r="G7" s="105"/>
      <c r="H7" s="103"/>
      <c r="I7" s="105"/>
      <c r="J7" s="103"/>
      <c r="K7" s="9"/>
      <c r="L7" s="8"/>
    </row>
    <row r="8" spans="1:12" ht="15" customHeight="1" x14ac:dyDescent="0.35">
      <c r="A8" s="136">
        <v>1</v>
      </c>
      <c r="B8" s="86" t="s">
        <v>1446</v>
      </c>
      <c r="C8" s="12" t="s">
        <v>574</v>
      </c>
      <c r="D8" s="103">
        <v>12</v>
      </c>
      <c r="E8" s="105"/>
      <c r="F8" s="103">
        <f>D8+E8</f>
        <v>12</v>
      </c>
      <c r="G8" s="105"/>
      <c r="H8" s="103">
        <f>MROUND((D8*(1+Sheet1!$C$3)),0.1)-2.3</f>
        <v>10</v>
      </c>
      <c r="I8" s="105"/>
      <c r="J8" s="103">
        <f>H8+I8</f>
        <v>10</v>
      </c>
      <c r="K8" s="9">
        <f>J8-F8</f>
        <v>-2</v>
      </c>
      <c r="L8" s="8">
        <f>IF(F8="","NEW",K8/F8)</f>
        <v>-0.16666666666666666</v>
      </c>
    </row>
    <row r="9" spans="1:12" ht="15" customHeight="1" x14ac:dyDescent="0.35">
      <c r="A9" s="136">
        <f>+A8+1</f>
        <v>2</v>
      </c>
      <c r="B9" s="86" t="s">
        <v>1447</v>
      </c>
      <c r="C9" s="12" t="s">
        <v>574</v>
      </c>
      <c r="D9" s="103">
        <v>34.5</v>
      </c>
      <c r="E9" s="105"/>
      <c r="F9" s="103">
        <f>D9+E9</f>
        <v>34.5</v>
      </c>
      <c r="G9" s="105"/>
      <c r="H9" s="103">
        <f>MROUND((D9*(1+Sheet1!$C$3)),0.1)-0.4</f>
        <v>35</v>
      </c>
      <c r="I9" s="105"/>
      <c r="J9" s="103">
        <f t="shared" ref="J9:J10" si="0">H9+I9</f>
        <v>35</v>
      </c>
      <c r="K9" s="9">
        <f>J9-F9</f>
        <v>0.5</v>
      </c>
      <c r="L9" s="8">
        <f>IF(F9="","NEW",K9/F9)</f>
        <v>1.4492753623188406E-2</v>
      </c>
    </row>
    <row r="10" spans="1:12" ht="15" customHeight="1" x14ac:dyDescent="0.35">
      <c r="A10" s="136">
        <f t="shared" ref="A10:A20" si="1">+A9+1</f>
        <v>3</v>
      </c>
      <c r="B10" s="86" t="s">
        <v>1518</v>
      </c>
      <c r="C10" s="12" t="s">
        <v>574</v>
      </c>
      <c r="D10" s="103">
        <v>73.5</v>
      </c>
      <c r="E10" s="105"/>
      <c r="F10" s="103">
        <f>D10+E10</f>
        <v>73.5</v>
      </c>
      <c r="G10" s="105"/>
      <c r="H10" s="103">
        <f>D10</f>
        <v>73.5</v>
      </c>
      <c r="I10" s="105"/>
      <c r="J10" s="103">
        <f t="shared" si="0"/>
        <v>73.5</v>
      </c>
      <c r="K10" s="9">
        <f>J10-F10</f>
        <v>0</v>
      </c>
      <c r="L10" s="8">
        <f>IF(F10="","NEW",K10/F10)</f>
        <v>0</v>
      </c>
    </row>
    <row r="11" spans="1:12" ht="15" customHeight="1" x14ac:dyDescent="0.35">
      <c r="A11" s="136"/>
      <c r="B11" s="86"/>
      <c r="C11" s="12"/>
      <c r="D11" s="103"/>
      <c r="E11" s="105"/>
      <c r="F11" s="103"/>
      <c r="G11" s="105"/>
      <c r="H11" s="103"/>
      <c r="I11" s="105"/>
      <c r="J11" s="103"/>
      <c r="K11" s="9"/>
      <c r="L11" s="8"/>
    </row>
    <row r="12" spans="1:12" s="245" customFormat="1" ht="15" customHeight="1" thickBot="1" x14ac:dyDescent="0.4">
      <c r="A12" s="136"/>
      <c r="B12" s="264" t="s">
        <v>1448</v>
      </c>
      <c r="C12" s="12"/>
      <c r="D12" s="103"/>
      <c r="E12" s="105"/>
      <c r="F12" s="103"/>
      <c r="G12" s="105"/>
      <c r="H12" s="103"/>
      <c r="I12" s="105"/>
      <c r="J12" s="103"/>
      <c r="K12" s="9"/>
      <c r="L12" s="8"/>
    </row>
    <row r="13" spans="1:12" s="245" customFormat="1" ht="15" customHeight="1" x14ac:dyDescent="0.35">
      <c r="A13" s="136">
        <f>A10+1</f>
        <v>4</v>
      </c>
      <c r="B13" s="86" t="s">
        <v>1449</v>
      </c>
      <c r="C13" s="12" t="s">
        <v>574</v>
      </c>
      <c r="D13" s="103">
        <v>10.3</v>
      </c>
      <c r="E13" s="105"/>
      <c r="F13" s="103">
        <f>D13+E13</f>
        <v>10.3</v>
      </c>
      <c r="G13" s="105"/>
      <c r="H13" s="103">
        <f>MROUND((D13*(1+Sheet1!$C$3)),0.1)</f>
        <v>10.600000000000001</v>
      </c>
      <c r="I13" s="105"/>
      <c r="J13" s="103">
        <f t="shared" ref="J13:J17" si="2">H13+I13</f>
        <v>10.600000000000001</v>
      </c>
      <c r="K13" s="9">
        <f>J13-F13</f>
        <v>0.30000000000000071</v>
      </c>
      <c r="L13" s="8">
        <f>IF(F13="","NEW",K13/F13)</f>
        <v>2.9126213592233077E-2</v>
      </c>
    </row>
    <row r="14" spans="1:12" s="245" customFormat="1" ht="15" customHeight="1" x14ac:dyDescent="0.35">
      <c r="A14" s="136">
        <f t="shared" si="1"/>
        <v>5</v>
      </c>
      <c r="B14" s="86" t="s">
        <v>1450</v>
      </c>
      <c r="C14" s="12" t="s">
        <v>574</v>
      </c>
      <c r="D14" s="103">
        <v>6.92</v>
      </c>
      <c r="E14" s="105"/>
      <c r="F14" s="103">
        <f>D14+E14</f>
        <v>6.92</v>
      </c>
      <c r="G14" s="105"/>
      <c r="H14" s="103">
        <f>MROUND((D14*(1+Sheet1!$C$3)),0.1)</f>
        <v>7.1000000000000005</v>
      </c>
      <c r="I14" s="105"/>
      <c r="J14" s="103">
        <f t="shared" si="2"/>
        <v>7.1000000000000005</v>
      </c>
      <c r="K14" s="9">
        <f>J14-F14</f>
        <v>0.1800000000000006</v>
      </c>
      <c r="L14" s="8">
        <f>IF(F14="","NEW",K14/F14)</f>
        <v>2.6011560693641706E-2</v>
      </c>
    </row>
    <row r="15" spans="1:12" s="245" customFormat="1" ht="15" customHeight="1" x14ac:dyDescent="0.35">
      <c r="A15" s="136">
        <f t="shared" si="1"/>
        <v>6</v>
      </c>
      <c r="B15" s="86" t="s">
        <v>1451</v>
      </c>
      <c r="C15" s="12" t="s">
        <v>574</v>
      </c>
      <c r="D15" s="103">
        <v>6.92</v>
      </c>
      <c r="E15" s="105"/>
      <c r="F15" s="103">
        <f>D15+E15</f>
        <v>6.92</v>
      </c>
      <c r="G15" s="105"/>
      <c r="H15" s="103">
        <f>MROUND((D15*(1+Sheet1!$C$3)),0.1)</f>
        <v>7.1000000000000005</v>
      </c>
      <c r="I15" s="105"/>
      <c r="J15" s="103">
        <f t="shared" si="2"/>
        <v>7.1000000000000005</v>
      </c>
      <c r="K15" s="9">
        <f>J15-F15</f>
        <v>0.1800000000000006</v>
      </c>
      <c r="L15" s="8">
        <f>IF(F15="","NEW",K15/F15)</f>
        <v>2.6011560693641706E-2</v>
      </c>
    </row>
    <row r="16" spans="1:12" s="245" customFormat="1" ht="15" customHeight="1" x14ac:dyDescent="0.35">
      <c r="A16" s="136">
        <f t="shared" si="1"/>
        <v>7</v>
      </c>
      <c r="B16" s="86" t="s">
        <v>1452</v>
      </c>
      <c r="C16" s="12" t="s">
        <v>574</v>
      </c>
      <c r="D16" s="103">
        <v>6.92</v>
      </c>
      <c r="E16" s="105"/>
      <c r="F16" s="103">
        <f>D16+E16</f>
        <v>6.92</v>
      </c>
      <c r="G16" s="105"/>
      <c r="H16" s="103">
        <f>MROUND((D16*(1+Sheet1!$C$3)),0.1)</f>
        <v>7.1000000000000005</v>
      </c>
      <c r="I16" s="105"/>
      <c r="J16" s="103">
        <f t="shared" si="2"/>
        <v>7.1000000000000005</v>
      </c>
      <c r="K16" s="9">
        <f>J16-F16</f>
        <v>0.1800000000000006</v>
      </c>
      <c r="L16" s="8">
        <f>IF(F16="","NEW",K16/F16)</f>
        <v>2.6011560693641706E-2</v>
      </c>
    </row>
    <row r="17" spans="1:12" s="245" customFormat="1" ht="15" customHeight="1" x14ac:dyDescent="0.35">
      <c r="A17" s="136">
        <f t="shared" si="1"/>
        <v>8</v>
      </c>
      <c r="B17" s="86" t="s">
        <v>1453</v>
      </c>
      <c r="C17" s="12" t="s">
        <v>574</v>
      </c>
      <c r="D17" s="103">
        <v>6.92</v>
      </c>
      <c r="E17" s="105"/>
      <c r="F17" s="103">
        <f>D17+E17</f>
        <v>6.92</v>
      </c>
      <c r="G17" s="105"/>
      <c r="H17" s="103">
        <f>MROUND((D17*(1+Sheet1!$C$3)),0.1)</f>
        <v>7.1000000000000005</v>
      </c>
      <c r="I17" s="105"/>
      <c r="J17" s="103">
        <f t="shared" si="2"/>
        <v>7.1000000000000005</v>
      </c>
      <c r="K17" s="9">
        <f>J17-F17</f>
        <v>0.1800000000000006</v>
      </c>
      <c r="L17" s="8">
        <f>IF(F17="","NEW",K17/F17)</f>
        <v>2.6011560693641706E-2</v>
      </c>
    </row>
    <row r="18" spans="1:12" s="245" customFormat="1" ht="15" customHeight="1" x14ac:dyDescent="0.35">
      <c r="A18" s="136">
        <f t="shared" si="1"/>
        <v>9</v>
      </c>
      <c r="B18" s="86" t="s">
        <v>1454</v>
      </c>
      <c r="C18" s="12"/>
      <c r="D18" s="103"/>
      <c r="E18" s="105"/>
      <c r="F18" s="103"/>
      <c r="G18" s="105"/>
      <c r="H18" s="103"/>
      <c r="I18" s="105"/>
      <c r="J18" s="103"/>
      <c r="K18" s="9"/>
      <c r="L18" s="8"/>
    </row>
    <row r="19" spans="1:12" s="245" customFormat="1" ht="15" customHeight="1" x14ac:dyDescent="0.35">
      <c r="A19" s="136">
        <f t="shared" si="1"/>
        <v>10</v>
      </c>
      <c r="B19" s="86" t="s">
        <v>1455</v>
      </c>
      <c r="C19" s="12" t="s">
        <v>574</v>
      </c>
      <c r="D19" s="103">
        <v>20.7</v>
      </c>
      <c r="E19" s="105"/>
      <c r="F19" s="103">
        <f>D19+E19</f>
        <v>20.7</v>
      </c>
      <c r="G19" s="105"/>
      <c r="H19" s="103">
        <f>MROUND((D19*(1+Sheet1!$C$3)),0.1)</f>
        <v>21.3</v>
      </c>
      <c r="I19" s="105"/>
      <c r="J19" s="103">
        <f t="shared" ref="J19:J20" si="3">H19+I19</f>
        <v>21.3</v>
      </c>
      <c r="K19" s="9">
        <f>J19-F19</f>
        <v>0.60000000000000142</v>
      </c>
      <c r="L19" s="8">
        <f>IF(F19="","NEW",K19/F19)</f>
        <v>2.8985507246376881E-2</v>
      </c>
    </row>
    <row r="20" spans="1:12" s="245" customFormat="1" ht="15" customHeight="1" x14ac:dyDescent="0.35">
      <c r="A20" s="136">
        <f t="shared" si="1"/>
        <v>11</v>
      </c>
      <c r="B20" s="86" t="s">
        <v>1456</v>
      </c>
      <c r="C20" s="12" t="s">
        <v>574</v>
      </c>
      <c r="D20" s="103">
        <v>22.94</v>
      </c>
      <c r="E20" s="105"/>
      <c r="F20" s="103">
        <f>D20+E20</f>
        <v>22.94</v>
      </c>
      <c r="G20" s="105"/>
      <c r="H20" s="103">
        <f>MROUND((D20*(1+Sheet1!$C$3)),0.1)</f>
        <v>23.6</v>
      </c>
      <c r="I20" s="105"/>
      <c r="J20" s="103">
        <f t="shared" si="3"/>
        <v>23.6</v>
      </c>
      <c r="K20" s="9">
        <f>J20-F20</f>
        <v>0.66000000000000014</v>
      </c>
      <c r="L20" s="8">
        <f>IF(F20="","NEW",K20/F20)</f>
        <v>2.8770706190061033E-2</v>
      </c>
    </row>
    <row r="21" spans="1:12" s="245" customFormat="1" ht="15.5" x14ac:dyDescent="0.35">
      <c r="A21" s="136"/>
      <c r="B21" s="739" t="s">
        <v>1457</v>
      </c>
      <c r="C21" s="740"/>
      <c r="D21" s="105"/>
      <c r="E21" s="105"/>
      <c r="F21" s="103"/>
      <c r="G21" s="105"/>
      <c r="H21" s="103"/>
      <c r="I21" s="105"/>
      <c r="J21" s="103"/>
      <c r="K21" s="41"/>
      <c r="L21" s="8"/>
    </row>
    <row r="23" spans="1:12" ht="15.5" x14ac:dyDescent="0.35">
      <c r="B23" s="51" t="s">
        <v>1458</v>
      </c>
    </row>
  </sheetData>
  <mergeCells count="3">
    <mergeCell ref="A1:B1"/>
    <mergeCell ref="K1:L1"/>
    <mergeCell ref="B21:C21"/>
  </mergeCells>
  <conditionalFormatting sqref="L4:L21">
    <cfRule type="cellIs" dxfId="0" priority="9" operator="equal">
      <formula>"NEW"</formula>
    </cfRule>
  </conditionalFormatting>
  <dataValidations disablePrompts="1" count="1">
    <dataValidation type="list" allowBlank="1" showInputMessage="1" showErrorMessage="1" sqref="C4:C20" xr:uid="{7C230430-4617-4553-9A95-88B56968599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2D44-FAD4-45FA-94F4-B02203F74EC3}">
  <dimension ref="A1:M20"/>
  <sheetViews>
    <sheetView zoomScaleNormal="100" zoomScaleSheetLayoutView="70" workbookViewId="0">
      <selection sqref="A1:B1"/>
    </sheetView>
  </sheetViews>
  <sheetFormatPr defaultColWidth="9" defaultRowHeight="20.25" customHeight="1" x14ac:dyDescent="0.35"/>
  <cols>
    <col min="1" max="1" width="5.54296875" style="57" customWidth="1"/>
    <col min="2" max="2" width="64.453125" style="47" customWidth="1"/>
    <col min="3" max="3" width="16" style="52" customWidth="1"/>
    <col min="4" max="4" width="10.54296875" style="52" customWidth="1"/>
    <col min="5" max="5" width="16.1796875" style="52" customWidth="1"/>
    <col min="6" max="6" width="3.453125" style="52" customWidth="1"/>
    <col min="7" max="7" width="16.453125" style="52" customWidth="1"/>
    <col min="8" max="8" width="10.54296875" style="52" customWidth="1"/>
    <col min="9" max="9" width="16.1796875" style="52" customWidth="1"/>
    <col min="10" max="10" width="12.453125" style="49" customWidth="1"/>
    <col min="11" max="11" width="11" style="50" customWidth="1"/>
    <col min="12" max="12" width="9.81640625" style="36" bestFit="1" customWidth="1"/>
    <col min="13" max="13" width="13.1796875" style="36" customWidth="1"/>
    <col min="14" max="16384" width="9" style="36"/>
  </cols>
  <sheetData>
    <row r="1" spans="1:13" s="25" customFormat="1" ht="116.15" customHeight="1" thickBot="1" x14ac:dyDescent="0.45">
      <c r="A1" s="520" t="s">
        <v>1</v>
      </c>
      <c r="B1" s="520"/>
      <c r="C1" s="26" t="s">
        <v>3</v>
      </c>
      <c r="D1" s="26" t="s">
        <v>4</v>
      </c>
      <c r="E1" s="26" t="s">
        <v>5</v>
      </c>
      <c r="F1" s="26"/>
      <c r="G1" s="26" t="s">
        <v>6</v>
      </c>
      <c r="H1" s="26" t="s">
        <v>4</v>
      </c>
      <c r="I1" s="26" t="s">
        <v>7</v>
      </c>
      <c r="J1" s="522" t="s">
        <v>8</v>
      </c>
      <c r="K1" s="522"/>
    </row>
    <row r="2" spans="1:13" ht="16" thickTop="1" x14ac:dyDescent="0.35">
      <c r="A2" s="29"/>
      <c r="B2" s="30"/>
      <c r="C2" s="33" t="s">
        <v>9</v>
      </c>
      <c r="D2" s="33" t="s">
        <v>9</v>
      </c>
      <c r="E2" s="33" t="s">
        <v>9</v>
      </c>
      <c r="F2" s="34"/>
      <c r="G2" s="33" t="s">
        <v>9</v>
      </c>
      <c r="H2" s="33" t="s">
        <v>9</v>
      </c>
      <c r="I2" s="33" t="s">
        <v>9</v>
      </c>
      <c r="J2" s="21" t="s">
        <v>9</v>
      </c>
      <c r="K2" s="20" t="s">
        <v>10</v>
      </c>
    </row>
    <row r="3" spans="1:13" ht="15" customHeight="1" thickBot="1" x14ac:dyDescent="0.4">
      <c r="A3" s="37"/>
      <c r="B3" s="259" t="s">
        <v>177</v>
      </c>
      <c r="C3" s="40"/>
      <c r="D3" s="40"/>
      <c r="E3" s="40"/>
      <c r="F3" s="40"/>
      <c r="G3" s="40"/>
      <c r="H3" s="40"/>
      <c r="I3" s="40"/>
      <c r="J3" s="41"/>
      <c r="K3" s="8"/>
    </row>
    <row r="4" spans="1:13" ht="73.5" customHeight="1" thickTop="1" x14ac:dyDescent="0.35">
      <c r="A4" s="37"/>
      <c r="B4" s="526" t="s">
        <v>178</v>
      </c>
      <c r="C4" s="527"/>
      <c r="D4" s="527"/>
      <c r="E4" s="527"/>
      <c r="F4" s="527"/>
      <c r="G4" s="527"/>
      <c r="H4" s="527"/>
      <c r="I4" s="527"/>
      <c r="J4" s="527"/>
      <c r="K4" s="528"/>
    </row>
    <row r="5" spans="1:13" ht="30" customHeight="1" x14ac:dyDescent="0.35">
      <c r="A5" s="37">
        <v>1</v>
      </c>
      <c r="B5" s="436" t="s">
        <v>179</v>
      </c>
      <c r="C5" s="437">
        <v>4.5</v>
      </c>
      <c r="D5" s="437"/>
      <c r="E5" s="437">
        <f t="shared" ref="E5:E12" si="0">SUM(C5:D5)</f>
        <v>4.5</v>
      </c>
      <c r="F5" s="437"/>
      <c r="G5" s="437">
        <v>4.95</v>
      </c>
      <c r="H5" s="437"/>
      <c r="I5" s="437">
        <f t="shared" ref="I5:I12" si="1">SUM(G5:H5)</f>
        <v>4.95</v>
      </c>
      <c r="J5" s="9">
        <f t="shared" ref="J5:J12" si="2">I5-E5</f>
        <v>0.45000000000000018</v>
      </c>
      <c r="K5" s="438">
        <f t="shared" ref="K5:K12" si="3">IF(E5="","NEW",J5/E5)</f>
        <v>0.10000000000000003</v>
      </c>
    </row>
    <row r="6" spans="1:13" ht="31" customHeight="1" x14ac:dyDescent="0.35">
      <c r="A6" s="37">
        <f t="shared" ref="A6:A12" si="4">+A5+1</f>
        <v>2</v>
      </c>
      <c r="B6" s="42" t="s">
        <v>180</v>
      </c>
      <c r="C6" s="40">
        <v>2.25</v>
      </c>
      <c r="D6" s="40"/>
      <c r="E6" s="40">
        <f t="shared" si="0"/>
        <v>2.25</v>
      </c>
      <c r="F6" s="40"/>
      <c r="G6" s="437">
        <v>2.48</v>
      </c>
      <c r="H6" s="437"/>
      <c r="I6" s="437">
        <f t="shared" si="1"/>
        <v>2.48</v>
      </c>
      <c r="J6" s="9">
        <f t="shared" si="2"/>
        <v>0.22999999999999998</v>
      </c>
      <c r="K6" s="8">
        <f t="shared" si="3"/>
        <v>0.10222222222222221</v>
      </c>
    </row>
    <row r="7" spans="1:13" ht="31" customHeight="1" x14ac:dyDescent="0.35">
      <c r="A7" s="37">
        <f t="shared" si="4"/>
        <v>3</v>
      </c>
      <c r="B7" s="42" t="s">
        <v>181</v>
      </c>
      <c r="C7" s="40">
        <v>2.25</v>
      </c>
      <c r="D7" s="40"/>
      <c r="E7" s="40">
        <f t="shared" si="0"/>
        <v>2.25</v>
      </c>
      <c r="F7" s="40"/>
      <c r="G7" s="437">
        <v>2.48</v>
      </c>
      <c r="H7" s="437"/>
      <c r="I7" s="437">
        <f t="shared" si="1"/>
        <v>2.48</v>
      </c>
      <c r="J7" s="9">
        <f t="shared" si="2"/>
        <v>0.22999999999999998</v>
      </c>
      <c r="K7" s="8">
        <f t="shared" si="3"/>
        <v>0.10222222222222221</v>
      </c>
    </row>
    <row r="8" spans="1:13" ht="31" customHeight="1" x14ac:dyDescent="0.35">
      <c r="A8" s="37">
        <f t="shared" si="4"/>
        <v>4</v>
      </c>
      <c r="B8" s="42" t="s">
        <v>182</v>
      </c>
      <c r="C8" s="40">
        <v>2.25</v>
      </c>
      <c r="D8" s="40"/>
      <c r="E8" s="40">
        <f t="shared" si="0"/>
        <v>2.25</v>
      </c>
      <c r="F8" s="40"/>
      <c r="G8" s="437">
        <v>2.48</v>
      </c>
      <c r="H8" s="437"/>
      <c r="I8" s="437">
        <f t="shared" si="1"/>
        <v>2.48</v>
      </c>
      <c r="J8" s="9">
        <f t="shared" si="2"/>
        <v>0.22999999999999998</v>
      </c>
      <c r="K8" s="8">
        <f t="shared" si="3"/>
        <v>0.10222222222222221</v>
      </c>
    </row>
    <row r="9" spans="1:13" ht="31" customHeight="1" x14ac:dyDescent="0.35">
      <c r="A9" s="37">
        <f t="shared" si="4"/>
        <v>5</v>
      </c>
      <c r="B9" s="42" t="s">
        <v>183</v>
      </c>
      <c r="C9" s="40">
        <v>36</v>
      </c>
      <c r="D9" s="40"/>
      <c r="E9" s="40">
        <f t="shared" si="0"/>
        <v>36</v>
      </c>
      <c r="F9" s="40"/>
      <c r="G9" s="437">
        <v>39.6</v>
      </c>
      <c r="H9" s="437"/>
      <c r="I9" s="437">
        <f t="shared" si="1"/>
        <v>39.6</v>
      </c>
      <c r="J9" s="9">
        <f t="shared" si="2"/>
        <v>3.6000000000000014</v>
      </c>
      <c r="K9" s="8">
        <f t="shared" si="3"/>
        <v>0.10000000000000003</v>
      </c>
    </row>
    <row r="10" spans="1:13" ht="31" customHeight="1" x14ac:dyDescent="0.35">
      <c r="A10" s="37">
        <f t="shared" si="4"/>
        <v>6</v>
      </c>
      <c r="B10" s="42" t="s">
        <v>184</v>
      </c>
      <c r="C10" s="40">
        <v>18</v>
      </c>
      <c r="D10" s="40"/>
      <c r="E10" s="40">
        <f t="shared" si="0"/>
        <v>18</v>
      </c>
      <c r="F10" s="40"/>
      <c r="G10" s="437">
        <v>19.8</v>
      </c>
      <c r="H10" s="437"/>
      <c r="I10" s="437">
        <f t="shared" si="1"/>
        <v>19.8</v>
      </c>
      <c r="J10" s="9">
        <f t="shared" si="2"/>
        <v>1.8000000000000007</v>
      </c>
      <c r="K10" s="8">
        <f t="shared" si="3"/>
        <v>0.10000000000000003</v>
      </c>
    </row>
    <row r="11" spans="1:13" ht="31" customHeight="1" x14ac:dyDescent="0.35">
      <c r="A11" s="37">
        <f t="shared" si="4"/>
        <v>7</v>
      </c>
      <c r="B11" s="42" t="s">
        <v>185</v>
      </c>
      <c r="C11" s="40">
        <v>18</v>
      </c>
      <c r="D11" s="40"/>
      <c r="E11" s="40">
        <f t="shared" si="0"/>
        <v>18</v>
      </c>
      <c r="F11" s="40"/>
      <c r="G11" s="437">
        <v>19.8</v>
      </c>
      <c r="H11" s="437"/>
      <c r="I11" s="437">
        <f t="shared" si="1"/>
        <v>19.8</v>
      </c>
      <c r="J11" s="9">
        <f t="shared" si="2"/>
        <v>1.8000000000000007</v>
      </c>
      <c r="K11" s="8">
        <f t="shared" si="3"/>
        <v>0.10000000000000003</v>
      </c>
      <c r="L11" s="44"/>
      <c r="M11" s="44"/>
    </row>
    <row r="12" spans="1:13" ht="31" customHeight="1" x14ac:dyDescent="0.35">
      <c r="A12" s="37">
        <f t="shared" si="4"/>
        <v>8</v>
      </c>
      <c r="B12" s="42" t="s">
        <v>186</v>
      </c>
      <c r="C12" s="40">
        <v>18</v>
      </c>
      <c r="D12" s="40"/>
      <c r="E12" s="40">
        <f t="shared" si="0"/>
        <v>18</v>
      </c>
      <c r="F12" s="40"/>
      <c r="G12" s="437">
        <v>19.8</v>
      </c>
      <c r="H12" s="437"/>
      <c r="I12" s="437">
        <f t="shared" si="1"/>
        <v>19.8</v>
      </c>
      <c r="J12" s="9">
        <f t="shared" si="2"/>
        <v>1.8000000000000007</v>
      </c>
      <c r="K12" s="8">
        <f t="shared" si="3"/>
        <v>0.10000000000000003</v>
      </c>
    </row>
    <row r="13" spans="1:13" s="35" customFormat="1" ht="20.25" customHeight="1" x14ac:dyDescent="0.35">
      <c r="A13" s="45"/>
      <c r="B13" s="46"/>
      <c r="C13" s="48"/>
      <c r="D13" s="48"/>
      <c r="E13" s="48"/>
      <c r="F13" s="48"/>
      <c r="G13" s="48"/>
      <c r="H13" s="48"/>
      <c r="I13" s="48"/>
      <c r="J13" s="49"/>
      <c r="K13" s="50"/>
      <c r="L13" s="36"/>
      <c r="M13" s="36"/>
    </row>
    <row r="14" spans="1:13" s="35" customFormat="1" ht="20.25" customHeight="1" x14ac:dyDescent="0.35">
      <c r="A14" s="51"/>
      <c r="B14" s="47"/>
      <c r="C14" s="52"/>
      <c r="D14" s="52"/>
      <c r="E14" s="52"/>
      <c r="F14" s="52"/>
      <c r="G14" s="52"/>
      <c r="H14" s="52"/>
      <c r="I14" s="52"/>
      <c r="J14" s="49"/>
      <c r="K14" s="50"/>
      <c r="L14" s="36"/>
      <c r="M14" s="36"/>
    </row>
    <row r="15" spans="1:13" s="35" customFormat="1" ht="20.25" customHeight="1" x14ac:dyDescent="0.35">
      <c r="A15" s="53"/>
      <c r="B15" s="54"/>
      <c r="C15" s="52"/>
      <c r="D15" s="52"/>
      <c r="E15" s="52"/>
      <c r="F15" s="52"/>
      <c r="G15" s="52"/>
      <c r="H15" s="52"/>
      <c r="I15" s="52"/>
      <c r="J15" s="49"/>
      <c r="K15" s="50"/>
      <c r="L15" s="36"/>
      <c r="M15" s="36"/>
    </row>
    <row r="16" spans="1:13" s="35" customFormat="1" ht="20.25" customHeight="1" x14ac:dyDescent="0.35">
      <c r="A16" s="51"/>
      <c r="B16" s="55"/>
      <c r="C16" s="52"/>
      <c r="D16" s="52"/>
      <c r="E16" s="52"/>
      <c r="F16" s="52"/>
      <c r="G16" s="52"/>
      <c r="H16" s="52"/>
      <c r="I16" s="52"/>
      <c r="J16" s="49"/>
      <c r="K16" s="50"/>
      <c r="L16" s="36"/>
      <c r="M16" s="36"/>
    </row>
    <row r="17" spans="1:13" s="35" customFormat="1" ht="20.25" customHeight="1" x14ac:dyDescent="0.35">
      <c r="A17" s="51"/>
      <c r="B17" s="56"/>
      <c r="C17" s="52"/>
      <c r="D17" s="52"/>
      <c r="E17" s="52"/>
      <c r="F17" s="52"/>
      <c r="G17" s="52"/>
      <c r="H17" s="52"/>
      <c r="I17" s="52"/>
      <c r="J17" s="49"/>
      <c r="K17" s="50"/>
      <c r="L17" s="36"/>
      <c r="M17" s="36"/>
    </row>
    <row r="18" spans="1:13" s="47" customFormat="1" ht="20.25" customHeight="1" x14ac:dyDescent="0.35">
      <c r="A18" s="51"/>
      <c r="B18" s="46"/>
      <c r="C18" s="52"/>
      <c r="D18" s="52"/>
      <c r="E18" s="52"/>
      <c r="F18" s="52"/>
      <c r="G18" s="52"/>
      <c r="H18" s="52"/>
      <c r="I18" s="52"/>
      <c r="J18" s="49"/>
      <c r="K18" s="50"/>
      <c r="L18" s="36"/>
      <c r="M18" s="36"/>
    </row>
    <row r="19" spans="1:13" s="47" customFormat="1" ht="20.25" customHeight="1" x14ac:dyDescent="0.35">
      <c r="A19" s="51"/>
      <c r="C19" s="52"/>
      <c r="D19" s="52"/>
      <c r="E19" s="52"/>
      <c r="F19" s="52"/>
      <c r="G19" s="52"/>
      <c r="H19" s="52"/>
      <c r="I19" s="52"/>
      <c r="J19" s="49"/>
      <c r="K19" s="50"/>
      <c r="L19" s="36"/>
      <c r="M19" s="36"/>
    </row>
    <row r="20" spans="1:13" s="47" customFormat="1" ht="20.25" customHeight="1" x14ac:dyDescent="0.35">
      <c r="A20" s="51"/>
      <c r="C20" s="52"/>
      <c r="D20" s="52"/>
      <c r="E20" s="52"/>
      <c r="F20" s="52"/>
      <c r="G20" s="52"/>
      <c r="H20" s="52"/>
      <c r="I20" s="52"/>
      <c r="J20" s="49"/>
      <c r="K20" s="50"/>
      <c r="L20" s="36"/>
      <c r="M20" s="36"/>
    </row>
  </sheetData>
  <mergeCells count="3">
    <mergeCell ref="A1:B1"/>
    <mergeCell ref="J1:K1"/>
    <mergeCell ref="B4:K4"/>
  </mergeCells>
  <conditionalFormatting sqref="K5:K12">
    <cfRule type="cellIs" dxfId="44" priority="1" operator="equal">
      <formula>"NEW"</formula>
    </cfRule>
  </conditionalFormatting>
  <printOptions horizontalCentered="1"/>
  <pageMargins left="0.70866141732283472" right="0.70866141732283472" top="0.94488188976377963" bottom="0.74803149606299213" header="0.31496062992125984" footer="0.31496062992125984"/>
  <pageSetup paperSize="9" scale="62"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64C-7203-44F2-9CF7-80CE5E22F1B1}">
  <dimension ref="A1:L234"/>
  <sheetViews>
    <sheetView zoomScaleNormal="100" zoomScaleSheetLayoutView="70" workbookViewId="0">
      <selection sqref="A1:B1"/>
    </sheetView>
  </sheetViews>
  <sheetFormatPr defaultColWidth="9.1796875" defaultRowHeight="15.5" x14ac:dyDescent="0.35"/>
  <cols>
    <col min="1" max="1" width="5.7265625" style="77" customWidth="1"/>
    <col min="2" max="2" width="64.26953125" style="78" customWidth="1"/>
    <col min="3" max="3" width="24.453125" style="78" customWidth="1"/>
    <col min="4" max="4" width="16" style="79" customWidth="1"/>
    <col min="5" max="5" width="10.54296875" style="79" customWidth="1"/>
    <col min="6" max="6" width="16.26953125" style="79" customWidth="1"/>
    <col min="7" max="7" width="3.453125" style="79" customWidth="1"/>
    <col min="8" max="8" width="16.26953125" style="79" customWidth="1"/>
    <col min="9" max="9" width="10.54296875" style="79" customWidth="1"/>
    <col min="10" max="10" width="16.26953125" style="79" customWidth="1"/>
    <col min="11" max="11" width="12.26953125" style="49" customWidth="1"/>
    <col min="12" max="12" width="11" style="50" customWidth="1"/>
    <col min="13" max="16384" width="9.1796875" style="61"/>
  </cols>
  <sheetData>
    <row r="1" spans="1:12" s="58" customFormat="1" ht="97" customHeight="1" x14ac:dyDescent="0.4">
      <c r="A1" s="530" t="s">
        <v>1</v>
      </c>
      <c r="B1" s="530"/>
      <c r="C1" s="26" t="s">
        <v>2</v>
      </c>
      <c r="D1" s="26" t="s">
        <v>3</v>
      </c>
      <c r="E1" s="26" t="s">
        <v>4</v>
      </c>
      <c r="F1" s="26" t="s">
        <v>5</v>
      </c>
      <c r="G1" s="26"/>
      <c r="H1" s="26" t="s">
        <v>6</v>
      </c>
      <c r="I1" s="26" t="s">
        <v>4</v>
      </c>
      <c r="J1" s="26" t="s">
        <v>7</v>
      </c>
      <c r="K1" s="529" t="s">
        <v>8</v>
      </c>
      <c r="L1" s="529"/>
    </row>
    <row r="2" spans="1:12" x14ac:dyDescent="0.35">
      <c r="A2" s="59"/>
      <c r="B2" s="335"/>
      <c r="C2" s="39"/>
      <c r="D2" s="22" t="s">
        <v>9</v>
      </c>
      <c r="E2" s="22" t="s">
        <v>9</v>
      </c>
      <c r="F2" s="22" t="s">
        <v>9</v>
      </c>
      <c r="G2" s="60"/>
      <c r="H2" s="22" t="s">
        <v>9</v>
      </c>
      <c r="I2" s="22" t="s">
        <v>9</v>
      </c>
      <c r="J2" s="22" t="s">
        <v>9</v>
      </c>
      <c r="K2" s="21" t="s">
        <v>9</v>
      </c>
      <c r="L2" s="20" t="s">
        <v>10</v>
      </c>
    </row>
    <row r="3" spans="1:12" ht="18" x14ac:dyDescent="0.35">
      <c r="A3" s="62"/>
      <c r="B3" s="260" t="s">
        <v>24</v>
      </c>
      <c r="C3" s="39"/>
      <c r="D3" s="22"/>
      <c r="E3" s="22"/>
      <c r="F3" s="22"/>
      <c r="G3" s="22"/>
      <c r="H3" s="22"/>
      <c r="I3" s="22"/>
      <c r="J3" s="22"/>
      <c r="K3" s="63"/>
      <c r="L3" s="20"/>
    </row>
    <row r="4" spans="1:12" ht="16.5" x14ac:dyDescent="0.35">
      <c r="A4" s="64"/>
      <c r="B4" s="262" t="s">
        <v>25</v>
      </c>
      <c r="C4" s="39"/>
      <c r="D4" s="65"/>
      <c r="E4" s="65"/>
      <c r="F4" s="65"/>
      <c r="G4" s="65"/>
      <c r="H4" s="65"/>
      <c r="I4" s="65"/>
      <c r="J4" s="65"/>
      <c r="K4" s="33"/>
      <c r="L4" s="20"/>
    </row>
    <row r="5" spans="1:12" x14ac:dyDescent="0.35">
      <c r="A5" s="64"/>
      <c r="B5" s="66"/>
      <c r="C5" s="39"/>
      <c r="D5" s="65"/>
      <c r="E5" s="65"/>
      <c r="F5" s="65"/>
      <c r="G5" s="65"/>
      <c r="H5" s="65"/>
      <c r="I5" s="65"/>
      <c r="J5" s="65"/>
      <c r="K5" s="33"/>
      <c r="L5" s="20"/>
    </row>
    <row r="6" spans="1:12" ht="16.5" x14ac:dyDescent="0.35">
      <c r="A6" s="64"/>
      <c r="B6" s="262" t="s">
        <v>26</v>
      </c>
      <c r="C6" s="39"/>
      <c r="D6" s="65"/>
      <c r="E6" s="65"/>
      <c r="F6" s="65"/>
      <c r="G6" s="65"/>
      <c r="H6" s="65"/>
      <c r="I6" s="65"/>
      <c r="J6" s="65"/>
      <c r="K6" s="33"/>
      <c r="L6" s="20"/>
    </row>
    <row r="7" spans="1:12" ht="31" x14ac:dyDescent="0.35">
      <c r="A7" s="67">
        <v>1</v>
      </c>
      <c r="B7" s="68" t="s">
        <v>27</v>
      </c>
      <c r="C7" s="16" t="s">
        <v>12</v>
      </c>
      <c r="D7" s="15">
        <v>3190</v>
      </c>
      <c r="E7" s="69"/>
      <c r="F7" s="69">
        <f>D7+E7</f>
        <v>3190</v>
      </c>
      <c r="G7" s="15"/>
      <c r="H7" s="10">
        <f>D7</f>
        <v>3190</v>
      </c>
      <c r="I7" s="15"/>
      <c r="J7" s="69">
        <f>H7+I7</f>
        <v>3190</v>
      </c>
      <c r="K7" s="9">
        <f>J7-F7</f>
        <v>0</v>
      </c>
      <c r="L7" s="8">
        <f>IF(F7="","NEW",K7/F7)</f>
        <v>0</v>
      </c>
    </row>
    <row r="8" spans="1:12" ht="31" x14ac:dyDescent="0.35">
      <c r="A8" s="67">
        <f>+A7+1</f>
        <v>2</v>
      </c>
      <c r="B8" s="68" t="s">
        <v>28</v>
      </c>
      <c r="C8" s="16" t="s">
        <v>12</v>
      </c>
      <c r="D8" s="15">
        <v>9570</v>
      </c>
      <c r="E8" s="69"/>
      <c r="F8" s="69">
        <f>D8+E8</f>
        <v>9570</v>
      </c>
      <c r="G8" s="15"/>
      <c r="H8" s="10">
        <f>MROUND((D8*(1+Sheet1!$C$3)),0.1)+66.8</f>
        <v>9900</v>
      </c>
      <c r="I8" s="15"/>
      <c r="J8" s="69">
        <f>H8+I8</f>
        <v>9900</v>
      </c>
      <c r="K8" s="9">
        <f>J8-F8</f>
        <v>330</v>
      </c>
      <c r="L8" s="8">
        <f>IF(F8="","NEW",K8/F8)</f>
        <v>3.4482758620689655E-2</v>
      </c>
    </row>
    <row r="9" spans="1:12" x14ac:dyDescent="0.35">
      <c r="A9" s="67"/>
      <c r="B9" s="68"/>
      <c r="C9" s="16"/>
      <c r="D9" s="15"/>
      <c r="E9" s="69"/>
      <c r="F9" s="69"/>
      <c r="G9" s="15"/>
      <c r="H9" s="15"/>
      <c r="I9" s="15"/>
      <c r="J9" s="15"/>
      <c r="K9" s="9"/>
      <c r="L9" s="8"/>
    </row>
    <row r="10" spans="1:12" ht="33" x14ac:dyDescent="0.35">
      <c r="A10" s="67"/>
      <c r="B10" s="264" t="s">
        <v>29</v>
      </c>
      <c r="C10" s="16"/>
      <c r="D10" s="15"/>
      <c r="E10" s="15"/>
      <c r="F10" s="15"/>
      <c r="G10" s="15"/>
      <c r="H10" s="15"/>
      <c r="I10" s="15"/>
      <c r="J10" s="15"/>
      <c r="K10" s="9"/>
      <c r="L10" s="8"/>
    </row>
    <row r="11" spans="1:12" x14ac:dyDescent="0.35">
      <c r="A11" s="67">
        <f>+A8+1</f>
        <v>3</v>
      </c>
      <c r="B11" s="70" t="s">
        <v>30</v>
      </c>
      <c r="C11" s="16" t="s">
        <v>12</v>
      </c>
      <c r="D11" s="15">
        <v>1430</v>
      </c>
      <c r="E11" s="15"/>
      <c r="F11" s="69">
        <f>D11+E11</f>
        <v>1430</v>
      </c>
      <c r="G11" s="15"/>
      <c r="H11" s="10">
        <f>D11</f>
        <v>1430</v>
      </c>
      <c r="I11" s="15"/>
      <c r="J11" s="69">
        <f>H11+I11</f>
        <v>1430</v>
      </c>
      <c r="K11" s="9">
        <f>J11-F11</f>
        <v>0</v>
      </c>
      <c r="L11" s="8">
        <f>IF(F11="","NEW",K11/F11)</f>
        <v>0</v>
      </c>
    </row>
    <row r="12" spans="1:12" x14ac:dyDescent="0.35">
      <c r="A12" s="67">
        <f>+A11+1</f>
        <v>4</v>
      </c>
      <c r="B12" s="70" t="s">
        <v>31</v>
      </c>
      <c r="C12" s="16" t="s">
        <v>12</v>
      </c>
      <c r="D12" s="15">
        <v>4290</v>
      </c>
      <c r="E12" s="15"/>
      <c r="F12" s="69">
        <f>D12+E12</f>
        <v>4290</v>
      </c>
      <c r="G12" s="15"/>
      <c r="H12" s="10">
        <f>MROUND((D12*(1+Sheet1!$C$3)),0.1)+92</f>
        <v>4500</v>
      </c>
      <c r="I12" s="15"/>
      <c r="J12" s="69">
        <f>H12+I12</f>
        <v>4500</v>
      </c>
      <c r="K12" s="9">
        <f>J12-F12</f>
        <v>210</v>
      </c>
      <c r="L12" s="8">
        <f>IF(F12="","NEW",K12/F12)</f>
        <v>4.8951048951048952E-2</v>
      </c>
    </row>
    <row r="13" spans="1:12" x14ac:dyDescent="0.35">
      <c r="A13" s="67"/>
      <c r="B13" s="70"/>
      <c r="C13" s="16"/>
      <c r="D13" s="15"/>
      <c r="E13" s="15"/>
      <c r="F13" s="69"/>
      <c r="G13" s="15"/>
      <c r="H13" s="15"/>
      <c r="I13" s="15"/>
      <c r="J13" s="15"/>
      <c r="K13" s="9"/>
      <c r="L13" s="8"/>
    </row>
    <row r="14" spans="1:12" ht="16.5" x14ac:dyDescent="0.35">
      <c r="A14" s="67"/>
      <c r="B14" s="264" t="s">
        <v>32</v>
      </c>
      <c r="C14" s="16"/>
      <c r="D14" s="15"/>
      <c r="E14" s="15"/>
      <c r="F14" s="69"/>
      <c r="G14" s="15"/>
      <c r="H14" s="15"/>
      <c r="I14" s="15"/>
      <c r="J14" s="15"/>
      <c r="K14" s="9"/>
      <c r="L14" s="8"/>
    </row>
    <row r="15" spans="1:12" ht="31" x14ac:dyDescent="0.35">
      <c r="A15" s="67">
        <f>+A12+1</f>
        <v>5</v>
      </c>
      <c r="B15" s="70" t="s">
        <v>33</v>
      </c>
      <c r="C15" s="16" t="s">
        <v>12</v>
      </c>
      <c r="D15" s="15">
        <v>1150.5999999999999</v>
      </c>
      <c r="E15" s="15"/>
      <c r="F15" s="69">
        <f>SUM(D15:E15)</f>
        <v>1150.5999999999999</v>
      </c>
      <c r="G15" s="15"/>
      <c r="H15" s="10">
        <f>D15-0.6</f>
        <v>1150</v>
      </c>
      <c r="I15" s="15"/>
      <c r="J15" s="69">
        <f>H15+I15</f>
        <v>1150</v>
      </c>
      <c r="K15" s="9">
        <f>J15-F15</f>
        <v>-0.59999999999990905</v>
      </c>
      <c r="L15" s="8">
        <f>IF(F15="","NEW",K15/F15)</f>
        <v>-5.2146706066392241E-4</v>
      </c>
    </row>
    <row r="16" spans="1:12" ht="31" x14ac:dyDescent="0.35">
      <c r="A16" s="67">
        <f>+A15+1</f>
        <v>6</v>
      </c>
      <c r="B16" s="70" t="s">
        <v>34</v>
      </c>
      <c r="C16" s="16" t="s">
        <v>12</v>
      </c>
      <c r="D16" s="15">
        <v>1150.5999999999999</v>
      </c>
      <c r="E16" s="15"/>
      <c r="F16" s="69">
        <f>SUM(D16:E16)</f>
        <v>1150.5999999999999</v>
      </c>
      <c r="G16" s="15"/>
      <c r="H16" s="10">
        <f>MROUND((D16*(1+Sheet1!$C$3)),0.1)+17.8</f>
        <v>1200</v>
      </c>
      <c r="I16" s="15"/>
      <c r="J16" s="69">
        <f>H16+I16</f>
        <v>1200</v>
      </c>
      <c r="K16" s="9">
        <f>J16-F16</f>
        <v>49.400000000000091</v>
      </c>
      <c r="L16" s="8">
        <f>IF(F16="","NEW",K16/F16)</f>
        <v>4.2934121328002867E-2</v>
      </c>
    </row>
    <row r="17" spans="1:12" ht="31" x14ac:dyDescent="0.35">
      <c r="A17" s="67">
        <f t="shared" ref="A17:A19" si="0">+A16+1</f>
        <v>7</v>
      </c>
      <c r="B17" s="70" t="s">
        <v>35</v>
      </c>
      <c r="C17" s="16" t="s">
        <v>12</v>
      </c>
      <c r="D17" s="15">
        <v>786.5</v>
      </c>
      <c r="E17" s="15"/>
      <c r="F17" s="69">
        <f>SUM(D17:E17)</f>
        <v>786.5</v>
      </c>
      <c r="G17" s="15"/>
      <c r="H17" s="10">
        <f>D17</f>
        <v>786.5</v>
      </c>
      <c r="I17" s="15"/>
      <c r="J17" s="69">
        <f>H17+I17</f>
        <v>786.5</v>
      </c>
      <c r="K17" s="9">
        <f>J17-F17</f>
        <v>0</v>
      </c>
      <c r="L17" s="8">
        <f>IF(F17="","NEW",K17/F17)</f>
        <v>0</v>
      </c>
    </row>
    <row r="18" spans="1:12" ht="31" x14ac:dyDescent="0.35">
      <c r="A18" s="67">
        <f t="shared" si="0"/>
        <v>8</v>
      </c>
      <c r="B18" s="70" t="s">
        <v>36</v>
      </c>
      <c r="C18" s="16" t="s">
        <v>12</v>
      </c>
      <c r="D18" s="15">
        <v>786.5</v>
      </c>
      <c r="E18" s="15"/>
      <c r="F18" s="69">
        <f>SUM(D18:E18)</f>
        <v>786.5</v>
      </c>
      <c r="G18" s="15"/>
      <c r="H18" s="10">
        <f>D18</f>
        <v>786.5</v>
      </c>
      <c r="I18" s="15"/>
      <c r="J18" s="69">
        <f>H18+I18</f>
        <v>786.5</v>
      </c>
      <c r="K18" s="9">
        <f>J18-F18</f>
        <v>0</v>
      </c>
      <c r="L18" s="8">
        <f>IF(F18="","NEW",K18/F18)</f>
        <v>0</v>
      </c>
    </row>
    <row r="19" spans="1:12" x14ac:dyDescent="0.35">
      <c r="A19" s="67">
        <f t="shared" si="0"/>
        <v>9</v>
      </c>
      <c r="B19" s="70" t="s">
        <v>37</v>
      </c>
      <c r="C19" s="16" t="s">
        <v>12</v>
      </c>
      <c r="D19" s="15">
        <v>1150.5999999999999</v>
      </c>
      <c r="E19" s="15"/>
      <c r="F19" s="69">
        <f>SUM(D19:E19)</f>
        <v>1150.5999999999999</v>
      </c>
      <c r="G19" s="15"/>
      <c r="H19" s="10">
        <f>MROUND((D19*(1+Sheet1!$C$3)),0.1)-0.2</f>
        <v>1182</v>
      </c>
      <c r="I19" s="15"/>
      <c r="J19" s="69">
        <f>H19+I19</f>
        <v>1182</v>
      </c>
      <c r="K19" s="9">
        <f>J19-F19</f>
        <v>31.400000000000091</v>
      </c>
      <c r="L19" s="8">
        <f>IF(F19="","NEW",K19/F19)</f>
        <v>2.7290109508082822E-2</v>
      </c>
    </row>
    <row r="20" spans="1:12" x14ac:dyDescent="0.35">
      <c r="A20" s="67"/>
      <c r="B20" s="70"/>
      <c r="C20" s="16"/>
      <c r="D20" s="15"/>
      <c r="E20" s="15"/>
      <c r="F20" s="69"/>
      <c r="G20" s="15"/>
      <c r="H20" s="15"/>
      <c r="I20" s="15"/>
      <c r="J20" s="15"/>
      <c r="K20" s="9"/>
      <c r="L20" s="8"/>
    </row>
    <row r="21" spans="1:12" ht="16.5" x14ac:dyDescent="0.35">
      <c r="A21" s="67"/>
      <c r="B21" s="264" t="s">
        <v>38</v>
      </c>
      <c r="C21" s="16"/>
      <c r="D21" s="15"/>
      <c r="E21" s="15"/>
      <c r="F21" s="69"/>
      <c r="G21" s="15"/>
      <c r="H21" s="15"/>
      <c r="I21" s="15"/>
      <c r="J21" s="15"/>
      <c r="K21" s="9"/>
      <c r="L21" s="8"/>
    </row>
    <row r="22" spans="1:12" ht="46.5" x14ac:dyDescent="0.35">
      <c r="A22" s="67">
        <f>A19+1</f>
        <v>10</v>
      </c>
      <c r="B22" s="70" t="s">
        <v>39</v>
      </c>
      <c r="C22" s="16" t="s">
        <v>12</v>
      </c>
      <c r="D22" s="15">
        <v>1828</v>
      </c>
      <c r="E22" s="15"/>
      <c r="F22" s="69">
        <f>SUM(D22:E22)</f>
        <v>1828</v>
      </c>
      <c r="G22" s="15"/>
      <c r="H22" s="10">
        <f>MROUND((D22*(1+Sheet1!$C$3)),0.1)-3.3</f>
        <v>1875.0000000000002</v>
      </c>
      <c r="I22" s="15"/>
      <c r="J22" s="69">
        <f>H22+I22</f>
        <v>1875.0000000000002</v>
      </c>
      <c r="K22" s="9">
        <f>J22-F22</f>
        <v>47.000000000000227</v>
      </c>
      <c r="L22" s="8">
        <f>IF(F22="","NEW",K22/F22)</f>
        <v>2.5711159737418068E-2</v>
      </c>
    </row>
    <row r="23" spans="1:12" ht="62" x14ac:dyDescent="0.35">
      <c r="A23" s="67">
        <f>A22+1</f>
        <v>11</v>
      </c>
      <c r="B23" s="70" t="s">
        <v>40</v>
      </c>
      <c r="C23" s="16" t="s">
        <v>12</v>
      </c>
      <c r="D23" s="15">
        <v>2277</v>
      </c>
      <c r="E23" s="15"/>
      <c r="F23" s="69">
        <f>SUM(D23:E23)</f>
        <v>2277</v>
      </c>
      <c r="G23" s="15"/>
      <c r="H23" s="10">
        <f>D23+3</f>
        <v>2280</v>
      </c>
      <c r="I23" s="15"/>
      <c r="J23" s="69">
        <f>H23+I23</f>
        <v>2280</v>
      </c>
      <c r="K23" s="9">
        <f>J23-F23</f>
        <v>3</v>
      </c>
      <c r="L23" s="8">
        <f>IF(F23="","NEW",K23/F23)</f>
        <v>1.3175230566534915E-3</v>
      </c>
    </row>
    <row r="24" spans="1:12" x14ac:dyDescent="0.35">
      <c r="A24" s="67"/>
      <c r="B24" s="70"/>
      <c r="C24" s="16"/>
      <c r="D24" s="15"/>
      <c r="E24" s="15"/>
      <c r="F24" s="69"/>
      <c r="G24" s="15"/>
      <c r="H24" s="15"/>
      <c r="I24" s="15"/>
      <c r="J24" s="15"/>
      <c r="K24" s="9"/>
      <c r="L24" s="8"/>
    </row>
    <row r="25" spans="1:12" ht="16.5" x14ac:dyDescent="0.35">
      <c r="A25" s="67"/>
      <c r="B25" s="264" t="s">
        <v>41</v>
      </c>
      <c r="C25" s="16"/>
      <c r="D25" s="15"/>
      <c r="E25" s="15"/>
      <c r="F25" s="69"/>
      <c r="G25" s="15"/>
      <c r="H25" s="15"/>
      <c r="I25" s="15"/>
      <c r="J25" s="15"/>
      <c r="K25" s="9"/>
      <c r="L25" s="8"/>
    </row>
    <row r="26" spans="1:12" ht="31" x14ac:dyDescent="0.35">
      <c r="A26" s="67">
        <f>A23+1</f>
        <v>12</v>
      </c>
      <c r="B26" s="70" t="s">
        <v>33</v>
      </c>
      <c r="C26" s="16" t="s">
        <v>12</v>
      </c>
      <c r="D26" s="15">
        <v>314.60000000000002</v>
      </c>
      <c r="E26" s="15"/>
      <c r="F26" s="69">
        <f>SUM(D26:E26)</f>
        <v>314.60000000000002</v>
      </c>
      <c r="G26" s="15"/>
      <c r="H26" s="10">
        <f>D26+0.4</f>
        <v>315</v>
      </c>
      <c r="I26" s="15"/>
      <c r="J26" s="69">
        <f>H26+I26</f>
        <v>315</v>
      </c>
      <c r="K26" s="9">
        <f>J26-F26</f>
        <v>0.39999999999997726</v>
      </c>
      <c r="L26" s="8">
        <f>IF(F26="","NEW",K26/F26)</f>
        <v>1.27145581691029E-3</v>
      </c>
    </row>
    <row r="27" spans="1:12" ht="31" x14ac:dyDescent="0.35">
      <c r="A27" s="67">
        <f>A26+1</f>
        <v>13</v>
      </c>
      <c r="B27" s="70" t="s">
        <v>42</v>
      </c>
      <c r="C27" s="16" t="s">
        <v>12</v>
      </c>
      <c r="D27" s="15">
        <v>314.60000000000002</v>
      </c>
      <c r="E27" s="15"/>
      <c r="F27" s="69">
        <f>SUM(D27:E27)</f>
        <v>314.60000000000002</v>
      </c>
      <c r="G27" s="15"/>
      <c r="H27" s="10">
        <f>D27+0.4</f>
        <v>315</v>
      </c>
      <c r="I27" s="15"/>
      <c r="J27" s="69">
        <f>H27+I27</f>
        <v>315</v>
      </c>
      <c r="K27" s="9">
        <f>J27-F27</f>
        <v>0.39999999999997726</v>
      </c>
      <c r="L27" s="8">
        <f>IF(F27="","NEW",K27/F27)</f>
        <v>1.27145581691029E-3</v>
      </c>
    </row>
    <row r="28" spans="1:12" x14ac:dyDescent="0.35">
      <c r="A28" s="67"/>
      <c r="B28" s="19"/>
      <c r="C28" s="16"/>
      <c r="D28" s="15"/>
      <c r="E28" s="15"/>
      <c r="F28" s="69"/>
      <c r="G28" s="15"/>
      <c r="H28" s="15"/>
      <c r="I28" s="15"/>
      <c r="J28" s="15"/>
      <c r="K28" s="9"/>
      <c r="L28" s="8"/>
    </row>
    <row r="29" spans="1:12" ht="16.5" x14ac:dyDescent="0.35">
      <c r="A29" s="67"/>
      <c r="B29" s="264" t="s">
        <v>43</v>
      </c>
      <c r="C29" s="16"/>
      <c r="D29" s="15"/>
      <c r="E29" s="15"/>
      <c r="F29" s="69"/>
      <c r="G29" s="15"/>
      <c r="H29" s="15"/>
      <c r="I29" s="15"/>
      <c r="J29" s="15"/>
      <c r="K29" s="9"/>
      <c r="L29" s="8"/>
    </row>
    <row r="30" spans="1:12" x14ac:dyDescent="0.35">
      <c r="A30" s="67">
        <f>A27+1</f>
        <v>14</v>
      </c>
      <c r="B30" s="70" t="s">
        <v>44</v>
      </c>
      <c r="C30" s="16" t="s">
        <v>12</v>
      </c>
      <c r="D30" s="15">
        <v>147.4</v>
      </c>
      <c r="E30" s="15">
        <f>ROUND(D30*0.2,2)</f>
        <v>29.48</v>
      </c>
      <c r="F30" s="15">
        <f>SUM(D30:E30)</f>
        <v>176.88</v>
      </c>
      <c r="G30" s="15"/>
      <c r="H30" s="10">
        <f>MROUND((D30*(1+Sheet1!$C$3)),0.1)-1.5</f>
        <v>150</v>
      </c>
      <c r="I30" s="15">
        <f>ROUND(H30*0.2,2)</f>
        <v>30</v>
      </c>
      <c r="J30" s="15">
        <f>SUM(H30:I30)</f>
        <v>180</v>
      </c>
      <c r="K30" s="9">
        <f>J30-F30</f>
        <v>3.1200000000000045</v>
      </c>
      <c r="L30" s="8">
        <f>IF(F30="","NEW",K30/F30)</f>
        <v>1.7639077340569905E-2</v>
      </c>
    </row>
    <row r="31" spans="1:12" x14ac:dyDescent="0.35">
      <c r="A31" s="67">
        <f>A30+1</f>
        <v>15</v>
      </c>
      <c r="B31" s="70" t="s">
        <v>45</v>
      </c>
      <c r="C31" s="16" t="s">
        <v>12</v>
      </c>
      <c r="D31" s="15">
        <v>126.13</v>
      </c>
      <c r="E31" s="15">
        <f>ROUND(D31*0.2,2)</f>
        <v>25.23</v>
      </c>
      <c r="F31" s="15">
        <f>SUM(D31:E31)</f>
        <v>151.35999999999999</v>
      </c>
      <c r="G31" s="15"/>
      <c r="H31" s="10">
        <f>MROUND((D31*(1+Sheet1!$C$3)),0.1)-0.43</f>
        <v>129.16999999999999</v>
      </c>
      <c r="I31" s="15">
        <f>ROUND(H31*0.2,2)</f>
        <v>25.83</v>
      </c>
      <c r="J31" s="15">
        <f>SUM(H31:I31)</f>
        <v>155</v>
      </c>
      <c r="K31" s="9">
        <f>J31-F31</f>
        <v>3.6400000000000148</v>
      </c>
      <c r="L31" s="8">
        <f>IF(F31="","NEW",K31/F31)</f>
        <v>2.4048625792811938E-2</v>
      </c>
    </row>
    <row r="32" spans="1:12" x14ac:dyDescent="0.35">
      <c r="A32" s="67">
        <f>A31+1</f>
        <v>16</v>
      </c>
      <c r="B32" s="70" t="s">
        <v>46</v>
      </c>
      <c r="C32" s="16" t="s">
        <v>12</v>
      </c>
      <c r="D32" s="15">
        <v>78.75</v>
      </c>
      <c r="E32" s="15">
        <f>ROUND(D32*0.2,2)</f>
        <v>15.75</v>
      </c>
      <c r="F32" s="15">
        <f>SUM(D32:E32)</f>
        <v>94.5</v>
      </c>
      <c r="G32" s="15"/>
      <c r="H32" s="10">
        <f>MROUND((D32*(1+Sheet1!$C$3)),0.1)-1.73</f>
        <v>79.17</v>
      </c>
      <c r="I32" s="15">
        <f>ROUND(H32*0.2,2)</f>
        <v>15.83</v>
      </c>
      <c r="J32" s="15">
        <f>SUM(H32:I32)</f>
        <v>95</v>
      </c>
      <c r="K32" s="9">
        <f>J32-F32</f>
        <v>0.5</v>
      </c>
      <c r="L32" s="8">
        <f>IF(F32="","NEW",K32/F32)</f>
        <v>5.2910052910052907E-3</v>
      </c>
    </row>
    <row r="33" spans="1:12" x14ac:dyDescent="0.35">
      <c r="A33" s="67">
        <f>A32+1</f>
        <v>17</v>
      </c>
      <c r="B33" s="70" t="s">
        <v>47</v>
      </c>
      <c r="C33" s="16" t="s">
        <v>12</v>
      </c>
      <c r="D33" s="15">
        <v>104.96</v>
      </c>
      <c r="E33" s="15">
        <f>ROUND(D33*0.2,2)</f>
        <v>20.99</v>
      </c>
      <c r="F33" s="15">
        <f>SUM(D33:E33)</f>
        <v>125.94999999999999</v>
      </c>
      <c r="G33" s="15"/>
      <c r="H33" s="10">
        <f>MROUND((D33*(1+Sheet1!$C$3)),0.1)-3.63</f>
        <v>104.17000000000002</v>
      </c>
      <c r="I33" s="15">
        <f>ROUND(H33*0.2,2)</f>
        <v>20.83</v>
      </c>
      <c r="J33" s="15">
        <f>SUM(H33:I33)</f>
        <v>125.00000000000001</v>
      </c>
      <c r="K33" s="9">
        <f>J33-F33</f>
        <v>-0.94999999999997442</v>
      </c>
      <c r="L33" s="8">
        <f>IF(F33="","NEW",K33/F33)</f>
        <v>-7.5426756649462053E-3</v>
      </c>
    </row>
    <row r="34" spans="1:12" x14ac:dyDescent="0.35">
      <c r="A34" s="67">
        <f>A33+1</f>
        <v>18</v>
      </c>
      <c r="B34" s="70" t="s">
        <v>48</v>
      </c>
      <c r="C34" s="16" t="s">
        <v>12</v>
      </c>
      <c r="D34" s="523" t="s">
        <v>49</v>
      </c>
      <c r="E34" s="524"/>
      <c r="F34" s="525"/>
      <c r="G34" s="15"/>
      <c r="H34" s="523" t="s">
        <v>49</v>
      </c>
      <c r="I34" s="524"/>
      <c r="J34" s="525"/>
      <c r="K34" s="9"/>
      <c r="L34" s="8"/>
    </row>
    <row r="35" spans="1:12" x14ac:dyDescent="0.35">
      <c r="A35" s="67"/>
      <c r="B35" s="70"/>
      <c r="C35" s="16"/>
      <c r="D35" s="15"/>
      <c r="E35" s="15"/>
      <c r="F35" s="69"/>
      <c r="G35" s="15"/>
      <c r="H35" s="15"/>
      <c r="I35" s="15"/>
      <c r="J35" s="15"/>
      <c r="K35" s="9"/>
      <c r="L35" s="8"/>
    </row>
    <row r="36" spans="1:12" ht="16.5" x14ac:dyDescent="0.35">
      <c r="A36" s="67"/>
      <c r="B36" s="264" t="s">
        <v>50</v>
      </c>
      <c r="C36" s="16"/>
      <c r="D36" s="15"/>
      <c r="E36" s="15"/>
      <c r="F36" s="69"/>
      <c r="G36" s="15"/>
      <c r="H36" s="15"/>
      <c r="I36" s="15"/>
      <c r="J36" s="15"/>
      <c r="K36" s="9"/>
      <c r="L36" s="8"/>
    </row>
    <row r="37" spans="1:12" ht="31" x14ac:dyDescent="0.35">
      <c r="A37" s="67">
        <f>A34+1</f>
        <v>19</v>
      </c>
      <c r="B37" s="70" t="s">
        <v>51</v>
      </c>
      <c r="C37" s="16" t="s">
        <v>12</v>
      </c>
      <c r="D37" s="15">
        <v>847</v>
      </c>
      <c r="E37" s="15"/>
      <c r="F37" s="69">
        <f>SUM(D37:E37)</f>
        <v>847</v>
      </c>
      <c r="G37" s="15"/>
      <c r="H37" s="10">
        <f>D37+3</f>
        <v>850</v>
      </c>
      <c r="I37" s="15"/>
      <c r="J37" s="15">
        <f>SUM(H37:I37)</f>
        <v>850</v>
      </c>
      <c r="K37" s="9">
        <f>J37-F37</f>
        <v>3</v>
      </c>
      <c r="L37" s="8">
        <f>IF(F37="","NEW",K37/F37)</f>
        <v>3.5419126328217238E-3</v>
      </c>
    </row>
    <row r="38" spans="1:12" ht="31" x14ac:dyDescent="0.35">
      <c r="A38" s="67">
        <f>A37+1</f>
        <v>20</v>
      </c>
      <c r="B38" s="70" t="s">
        <v>52</v>
      </c>
      <c r="C38" s="16" t="s">
        <v>12</v>
      </c>
      <c r="D38" s="15">
        <v>1210</v>
      </c>
      <c r="E38" s="15"/>
      <c r="F38" s="69">
        <f>SUM(D38:E38)</f>
        <v>1210</v>
      </c>
      <c r="G38" s="15"/>
      <c r="H38" s="10">
        <f>D38+5</f>
        <v>1215</v>
      </c>
      <c r="I38" s="15"/>
      <c r="J38" s="15">
        <f>SUM(H38:I38)</f>
        <v>1215</v>
      </c>
      <c r="K38" s="9">
        <f>J38-F38</f>
        <v>5</v>
      </c>
      <c r="L38" s="8">
        <f>IF(F38="","NEW",K38/F38)</f>
        <v>4.1322314049586778E-3</v>
      </c>
    </row>
    <row r="39" spans="1:12" x14ac:dyDescent="0.35">
      <c r="A39" s="67"/>
      <c r="B39" s="482"/>
      <c r="C39" s="16"/>
      <c r="D39" s="15"/>
      <c r="E39" s="15"/>
      <c r="F39" s="69"/>
      <c r="G39" s="15"/>
      <c r="H39" s="15"/>
      <c r="I39" s="15"/>
      <c r="J39" s="15"/>
      <c r="K39" s="9"/>
      <c r="L39" s="8"/>
    </row>
    <row r="40" spans="1:12" ht="16.5" x14ac:dyDescent="0.35">
      <c r="A40" s="67"/>
      <c r="B40" s="264" t="s">
        <v>53</v>
      </c>
      <c r="C40" s="16"/>
      <c r="D40" s="15"/>
      <c r="E40" s="15"/>
      <c r="F40" s="69"/>
      <c r="G40" s="15"/>
      <c r="H40" s="15"/>
      <c r="I40" s="15"/>
      <c r="J40" s="15"/>
      <c r="K40" s="9"/>
      <c r="L40" s="8"/>
    </row>
    <row r="41" spans="1:12" x14ac:dyDescent="0.35">
      <c r="A41" s="71">
        <f>A38+1</f>
        <v>21</v>
      </c>
      <c r="B41" s="70" t="s">
        <v>54</v>
      </c>
      <c r="C41" s="16" t="s">
        <v>12</v>
      </c>
      <c r="D41" s="15">
        <v>770</v>
      </c>
      <c r="E41" s="15"/>
      <c r="F41" s="69">
        <f>SUM(D41:E41)</f>
        <v>770</v>
      </c>
      <c r="G41" s="15"/>
      <c r="H41" s="10">
        <f>D41</f>
        <v>770</v>
      </c>
      <c r="I41" s="15"/>
      <c r="J41" s="15">
        <f>SUM(H41:I41)</f>
        <v>770</v>
      </c>
      <c r="K41" s="9">
        <f>J41-F41</f>
        <v>0</v>
      </c>
      <c r="L41" s="8">
        <f>IF(F41="","NEW",K41/F41)</f>
        <v>0</v>
      </c>
    </row>
    <row r="42" spans="1:12" x14ac:dyDescent="0.35">
      <c r="A42" s="71">
        <f>+A41+1</f>
        <v>22</v>
      </c>
      <c r="B42" s="70" t="s">
        <v>55</v>
      </c>
      <c r="C42" s="16" t="s">
        <v>12</v>
      </c>
      <c r="D42" s="15">
        <v>1314.5</v>
      </c>
      <c r="E42" s="15"/>
      <c r="F42" s="69">
        <f>SUM(D42:E42)</f>
        <v>1314.5</v>
      </c>
      <c r="G42" s="15"/>
      <c r="H42" s="10">
        <f>MROUND((D42*(1+Sheet1!$C$3)),0.1)+24.4</f>
        <v>1375.0000000000002</v>
      </c>
      <c r="I42" s="15"/>
      <c r="J42" s="15">
        <f>SUM(H42:I42)</f>
        <v>1375.0000000000002</v>
      </c>
      <c r="K42" s="9">
        <f>J42-F42</f>
        <v>60.500000000000227</v>
      </c>
      <c r="L42" s="8">
        <f>IF(F42="","NEW",K42/F42)</f>
        <v>4.6025104602510636E-2</v>
      </c>
    </row>
    <row r="43" spans="1:12" x14ac:dyDescent="0.35">
      <c r="A43" s="67"/>
      <c r="B43" s="70"/>
      <c r="C43" s="16"/>
      <c r="D43" s="15"/>
      <c r="E43" s="15"/>
      <c r="F43" s="69"/>
      <c r="G43" s="15"/>
      <c r="H43" s="15"/>
      <c r="I43" s="15"/>
      <c r="J43" s="15"/>
      <c r="K43" s="9"/>
      <c r="L43" s="8"/>
    </row>
    <row r="44" spans="1:12" ht="33" x14ac:dyDescent="0.35">
      <c r="A44" s="67"/>
      <c r="B44" s="264" t="s">
        <v>1468</v>
      </c>
      <c r="C44" s="16"/>
      <c r="D44" s="15"/>
      <c r="E44" s="15"/>
      <c r="F44" s="69"/>
      <c r="G44" s="15"/>
      <c r="H44" s="15"/>
      <c r="I44" s="15"/>
      <c r="J44" s="15"/>
      <c r="K44" s="9"/>
      <c r="L44" s="8"/>
    </row>
    <row r="45" spans="1:12" ht="31" x14ac:dyDescent="0.35">
      <c r="A45" s="67">
        <f>+A42+1</f>
        <v>23</v>
      </c>
      <c r="B45" s="70" t="s">
        <v>33</v>
      </c>
      <c r="C45" s="16" t="s">
        <v>12</v>
      </c>
      <c r="D45" s="15">
        <v>381.7</v>
      </c>
      <c r="E45" s="15"/>
      <c r="F45" s="69">
        <f>SUM(D45:E45)</f>
        <v>381.7</v>
      </c>
      <c r="G45" s="15"/>
      <c r="H45" s="10">
        <f>D45-1.7</f>
        <v>380</v>
      </c>
      <c r="I45" s="15"/>
      <c r="J45" s="15">
        <f>SUM(H45:I45)</f>
        <v>380</v>
      </c>
      <c r="K45" s="9">
        <f>J45-F45</f>
        <v>-1.6999999999999886</v>
      </c>
      <c r="L45" s="8">
        <f>IF(F45="","NEW",K45/F45)</f>
        <v>-4.4537594969871327E-3</v>
      </c>
    </row>
    <row r="46" spans="1:12" ht="31" x14ac:dyDescent="0.35">
      <c r="A46" s="67">
        <f>+A45+1</f>
        <v>24</v>
      </c>
      <c r="B46" s="70" t="s">
        <v>56</v>
      </c>
      <c r="C46" s="16" t="s">
        <v>12</v>
      </c>
      <c r="D46" s="15">
        <v>381.7</v>
      </c>
      <c r="E46" s="15"/>
      <c r="F46" s="69">
        <f>SUM(D46:E46)</f>
        <v>381.7</v>
      </c>
      <c r="G46" s="15"/>
      <c r="H46" s="10">
        <f>D46-1.7</f>
        <v>380</v>
      </c>
      <c r="I46" s="15"/>
      <c r="J46" s="15">
        <f>SUM(H46:I46)</f>
        <v>380</v>
      </c>
      <c r="K46" s="9">
        <f>J46-F46</f>
        <v>-1.6999999999999886</v>
      </c>
      <c r="L46" s="8">
        <f>IF(F46="","NEW",K46/F46)</f>
        <v>-4.4537594969871327E-3</v>
      </c>
    </row>
    <row r="47" spans="1:12" x14ac:dyDescent="0.35">
      <c r="A47" s="67"/>
      <c r="B47" s="70"/>
      <c r="C47" s="16"/>
      <c r="D47" s="15"/>
      <c r="E47" s="15"/>
      <c r="F47" s="69"/>
      <c r="G47" s="15"/>
      <c r="H47" s="15"/>
      <c r="I47" s="15"/>
      <c r="J47" s="15"/>
      <c r="K47" s="9"/>
      <c r="L47" s="8"/>
    </row>
    <row r="48" spans="1:12" ht="16.5" x14ac:dyDescent="0.35">
      <c r="A48" s="67"/>
      <c r="B48" s="264" t="s">
        <v>57</v>
      </c>
      <c r="C48" s="16"/>
      <c r="D48" s="15"/>
      <c r="E48" s="15"/>
      <c r="F48" s="69"/>
      <c r="G48" s="15"/>
      <c r="H48" s="15"/>
      <c r="I48" s="15"/>
      <c r="J48" s="15"/>
      <c r="K48" s="9"/>
      <c r="L48" s="8"/>
    </row>
    <row r="49" spans="1:12" x14ac:dyDescent="0.35">
      <c r="A49" s="67">
        <f>A46+1</f>
        <v>25</v>
      </c>
      <c r="B49" s="70" t="s">
        <v>58</v>
      </c>
      <c r="C49" s="16" t="s">
        <v>12</v>
      </c>
      <c r="D49" s="15">
        <v>836</v>
      </c>
      <c r="E49" s="15"/>
      <c r="F49" s="69">
        <f>SUM(D49:E49)</f>
        <v>836</v>
      </c>
      <c r="G49" s="15"/>
      <c r="H49" s="10">
        <f>MROUND((D49*(1+Sheet1!$C$3)),0.1)</f>
        <v>859</v>
      </c>
      <c r="I49" s="15"/>
      <c r="J49" s="15">
        <f>SUM(H49:I49)</f>
        <v>859</v>
      </c>
      <c r="K49" s="9">
        <f>J49-F49</f>
        <v>23</v>
      </c>
      <c r="L49" s="8">
        <f>IF(F49="","NEW",K49/F49)</f>
        <v>2.751196172248804E-2</v>
      </c>
    </row>
    <row r="50" spans="1:12" x14ac:dyDescent="0.35">
      <c r="A50" s="67"/>
      <c r="B50" s="70"/>
      <c r="C50" s="16"/>
      <c r="D50" s="15"/>
      <c r="E50" s="15"/>
      <c r="F50" s="69"/>
      <c r="G50" s="15"/>
      <c r="H50" s="15"/>
      <c r="I50" s="15"/>
      <c r="J50" s="15"/>
      <c r="K50" s="9"/>
      <c r="L50" s="8"/>
    </row>
    <row r="51" spans="1:12" ht="16.5" x14ac:dyDescent="0.35">
      <c r="A51" s="67"/>
      <c r="B51" s="264" t="s">
        <v>59</v>
      </c>
      <c r="C51" s="16"/>
      <c r="D51" s="15"/>
      <c r="E51" s="15"/>
      <c r="F51" s="15"/>
      <c r="G51" s="15"/>
      <c r="H51" s="15"/>
      <c r="I51" s="15"/>
      <c r="J51" s="15"/>
      <c r="K51" s="9"/>
      <c r="L51" s="8"/>
    </row>
    <row r="52" spans="1:12" ht="31" x14ac:dyDescent="0.35">
      <c r="A52" s="67">
        <f>A49+1</f>
        <v>26</v>
      </c>
      <c r="B52" s="70" t="s">
        <v>60</v>
      </c>
      <c r="C52" s="16" t="s">
        <v>12</v>
      </c>
      <c r="D52" s="15">
        <v>267.66000000000003</v>
      </c>
      <c r="E52" s="15">
        <f>ROUND(D52*0.2,2)</f>
        <v>53.53</v>
      </c>
      <c r="F52" s="69">
        <f>SUM(D52:E52)</f>
        <v>321.19000000000005</v>
      </c>
      <c r="G52" s="15"/>
      <c r="H52" s="10">
        <f>MROUND((D52*(1+Sheet1!$C$3)),0.1)</f>
        <v>275</v>
      </c>
      <c r="I52" s="15">
        <f>ROUND(H52*0.2,2)</f>
        <v>55</v>
      </c>
      <c r="J52" s="15">
        <f>SUM(H52:I52)</f>
        <v>330</v>
      </c>
      <c r="K52" s="9">
        <f>J52-F52</f>
        <v>8.8099999999999454</v>
      </c>
      <c r="L52" s="8">
        <f>IF(F52="","NEW",K52/F52)</f>
        <v>2.7429247485911593E-2</v>
      </c>
    </row>
    <row r="53" spans="1:12" ht="31" x14ac:dyDescent="0.35">
      <c r="A53" s="67">
        <f>+A52+1</f>
        <v>27</v>
      </c>
      <c r="B53" s="70" t="s">
        <v>61</v>
      </c>
      <c r="C53" s="16" t="s">
        <v>12</v>
      </c>
      <c r="D53" s="15">
        <v>83.42</v>
      </c>
      <c r="E53" s="15">
        <f>ROUND(D53*0.2,2)</f>
        <v>16.68</v>
      </c>
      <c r="F53" s="69">
        <f>SUM(D53:E53)</f>
        <v>100.1</v>
      </c>
      <c r="G53" s="15"/>
      <c r="H53" s="10">
        <f>MROUND((D53*(1+Sheet1!$C$3)),0.1)+1.8</f>
        <v>87.5</v>
      </c>
      <c r="I53" s="15">
        <f>ROUND(H53*0.2,2)</f>
        <v>17.5</v>
      </c>
      <c r="J53" s="15">
        <f>SUM(H53:I53)</f>
        <v>105</v>
      </c>
      <c r="K53" s="9">
        <f>J53-F53</f>
        <v>4.9000000000000057</v>
      </c>
      <c r="L53" s="8">
        <f>IF(F53="","NEW",K53/F53)</f>
        <v>4.8951048951049007E-2</v>
      </c>
    </row>
    <row r="54" spans="1:12" ht="31" x14ac:dyDescent="0.35">
      <c r="A54" s="67">
        <f>+A53+1</f>
        <v>28</v>
      </c>
      <c r="B54" s="70" t="s">
        <v>62</v>
      </c>
      <c r="C54" s="16" t="s">
        <v>12</v>
      </c>
      <c r="D54" s="15">
        <v>163.16999999999999</v>
      </c>
      <c r="E54" s="15">
        <f>ROUND(D54*0.2,2)</f>
        <v>32.630000000000003</v>
      </c>
      <c r="F54" s="69">
        <f>SUM(D54:E54)</f>
        <v>195.79999999999998</v>
      </c>
      <c r="G54" s="15"/>
      <c r="H54" s="10">
        <f>MROUND((D54*(1+Sheet1!$C$3)),0.1)+3.13</f>
        <v>170.83</v>
      </c>
      <c r="I54" s="15">
        <f>ROUND(H54*0.2,2)</f>
        <v>34.17</v>
      </c>
      <c r="J54" s="15">
        <f>SUM(H54:I54)</f>
        <v>205</v>
      </c>
      <c r="K54" s="9">
        <f>J54-F54</f>
        <v>9.2000000000000171</v>
      </c>
      <c r="L54" s="8">
        <f>IF(F54="","NEW",K54/F54)</f>
        <v>4.6986721144024607E-2</v>
      </c>
    </row>
    <row r="55" spans="1:12" x14ac:dyDescent="0.35">
      <c r="A55" s="67">
        <f>+A54+1</f>
        <v>29</v>
      </c>
      <c r="B55" s="70" t="s">
        <v>63</v>
      </c>
      <c r="C55" s="16" t="s">
        <v>12</v>
      </c>
      <c r="D55" s="15">
        <v>163.16999999999999</v>
      </c>
      <c r="E55" s="15">
        <f>ROUND(D55*0.2,2)</f>
        <v>32.630000000000003</v>
      </c>
      <c r="F55" s="69">
        <f>SUM(D55:E55)</f>
        <v>195.79999999999998</v>
      </c>
      <c r="G55" s="15"/>
      <c r="H55" s="10">
        <f>MROUND((D55*(1+Sheet1!$C$3)),0.1)+3.13</f>
        <v>170.83</v>
      </c>
      <c r="I55" s="15">
        <f>ROUND(H55*0.2,2)</f>
        <v>34.17</v>
      </c>
      <c r="J55" s="15">
        <f>SUM(H55:I55)</f>
        <v>205</v>
      </c>
      <c r="K55" s="9">
        <f>J55-F55</f>
        <v>9.2000000000000171</v>
      </c>
      <c r="L55" s="8">
        <f>IF(F55="","NEW",K55/F55)</f>
        <v>4.6986721144024607E-2</v>
      </c>
    </row>
    <row r="56" spans="1:12" ht="31" x14ac:dyDescent="0.35">
      <c r="A56" s="67">
        <f>+A55+1</f>
        <v>30</v>
      </c>
      <c r="B56" s="70" t="s">
        <v>64</v>
      </c>
      <c r="C56" s="16" t="s">
        <v>12</v>
      </c>
      <c r="D56" s="15">
        <v>131.1</v>
      </c>
      <c r="E56" s="15">
        <f>ROUND(D56*0.2,2)</f>
        <v>26.22</v>
      </c>
      <c r="F56" s="69">
        <f>SUM(D56:E56)</f>
        <v>157.32</v>
      </c>
      <c r="G56" s="15"/>
      <c r="H56" s="10">
        <f>MROUND((D56*(1+Sheet1!$C$3)),0.1)+2.8</f>
        <v>137.50000000000003</v>
      </c>
      <c r="I56" s="15">
        <f>ROUND(H56*0.2,2)</f>
        <v>27.5</v>
      </c>
      <c r="J56" s="15">
        <f>SUM(H56:I56)</f>
        <v>165.00000000000003</v>
      </c>
      <c r="K56" s="9">
        <f>J56-F56</f>
        <v>7.6800000000000352</v>
      </c>
      <c r="L56" s="8">
        <f>IF(F56="","NEW",K56/F56)</f>
        <v>4.8817696414950644E-2</v>
      </c>
    </row>
    <row r="57" spans="1:12" x14ac:dyDescent="0.35">
      <c r="A57" s="67"/>
      <c r="B57" s="68"/>
      <c r="C57" s="16"/>
      <c r="D57" s="15"/>
      <c r="E57" s="15"/>
      <c r="F57" s="69"/>
      <c r="G57" s="15"/>
      <c r="H57" s="15"/>
      <c r="I57" s="15"/>
      <c r="J57" s="15"/>
      <c r="K57" s="9"/>
      <c r="L57" s="8"/>
    </row>
    <row r="58" spans="1:12" ht="33" x14ac:dyDescent="0.35">
      <c r="A58" s="67"/>
      <c r="B58" s="264" t="s">
        <v>65</v>
      </c>
      <c r="C58" s="16"/>
      <c r="D58" s="15"/>
      <c r="E58" s="15"/>
      <c r="F58" s="15"/>
      <c r="G58" s="15"/>
      <c r="H58" s="15"/>
      <c r="I58" s="15"/>
      <c r="J58" s="15"/>
      <c r="K58" s="9"/>
      <c r="L58" s="8"/>
    </row>
    <row r="59" spans="1:12" x14ac:dyDescent="0.35">
      <c r="A59" s="67">
        <f>+A56+1</f>
        <v>31</v>
      </c>
      <c r="B59" s="70" t="s">
        <v>66</v>
      </c>
      <c r="C59" s="16" t="s">
        <v>12</v>
      </c>
      <c r="D59" s="15">
        <v>121</v>
      </c>
      <c r="E59" s="15"/>
      <c r="F59" s="69">
        <f>SUM(D59:E59)</f>
        <v>121</v>
      </c>
      <c r="G59" s="15"/>
      <c r="H59" s="10">
        <f>MROUND((D59*(1+Sheet1!$C$3)),0.1)+5.7</f>
        <v>130</v>
      </c>
      <c r="I59" s="15"/>
      <c r="J59" s="15">
        <f>SUM(H59:I59)</f>
        <v>130</v>
      </c>
      <c r="K59" s="9">
        <f>J59-F59</f>
        <v>9</v>
      </c>
      <c r="L59" s="8">
        <f>IF(F59="","NEW",K59/F59)</f>
        <v>7.43801652892562E-2</v>
      </c>
    </row>
    <row r="60" spans="1:12" x14ac:dyDescent="0.35">
      <c r="A60" s="67">
        <f>+A59+1</f>
        <v>32</v>
      </c>
      <c r="B60" s="70" t="s">
        <v>67</v>
      </c>
      <c r="C60" s="16" t="s">
        <v>12</v>
      </c>
      <c r="D60" s="15">
        <v>121</v>
      </c>
      <c r="E60" s="15"/>
      <c r="F60" s="69">
        <f>SUM(D60:E60)</f>
        <v>121</v>
      </c>
      <c r="G60" s="15"/>
      <c r="H60" s="10">
        <f>MROUND((D60*(1+Sheet1!$C$3)),0.1)+5.7</f>
        <v>130</v>
      </c>
      <c r="I60" s="15"/>
      <c r="J60" s="15">
        <f>SUM(H60:I60)</f>
        <v>130</v>
      </c>
      <c r="K60" s="9">
        <f>J60-F60</f>
        <v>9</v>
      </c>
      <c r="L60" s="8">
        <f>IF(F60="","NEW",K60/F60)</f>
        <v>7.43801652892562E-2</v>
      </c>
    </row>
    <row r="61" spans="1:12" x14ac:dyDescent="0.35">
      <c r="A61" s="67"/>
      <c r="B61" s="70"/>
      <c r="C61" s="16"/>
      <c r="D61" s="15"/>
      <c r="E61" s="15"/>
      <c r="F61" s="69"/>
      <c r="G61" s="15"/>
      <c r="H61" s="15"/>
      <c r="I61" s="15"/>
      <c r="J61" s="15"/>
      <c r="K61" s="9"/>
      <c r="L61" s="8"/>
    </row>
    <row r="62" spans="1:12" ht="16.5" x14ac:dyDescent="0.35">
      <c r="A62" s="67"/>
      <c r="B62" s="264" t="s">
        <v>68</v>
      </c>
      <c r="C62" s="16"/>
      <c r="D62" s="15"/>
      <c r="E62" s="15"/>
      <c r="F62" s="15"/>
      <c r="G62" s="15"/>
      <c r="H62" s="15"/>
      <c r="I62" s="15"/>
      <c r="J62" s="15"/>
      <c r="K62" s="9"/>
      <c r="L62" s="8"/>
    </row>
    <row r="63" spans="1:12" x14ac:dyDescent="0.35">
      <c r="A63" s="67">
        <f>+A60+1</f>
        <v>33</v>
      </c>
      <c r="B63" s="70" t="s">
        <v>69</v>
      </c>
      <c r="C63" s="16" t="s">
        <v>12</v>
      </c>
      <c r="D63" s="523" t="s">
        <v>70</v>
      </c>
      <c r="E63" s="524"/>
      <c r="F63" s="524"/>
      <c r="G63" s="524"/>
      <c r="H63" s="524"/>
      <c r="I63" s="524"/>
      <c r="J63" s="525"/>
      <c r="K63" s="9"/>
      <c r="L63" s="8"/>
    </row>
    <row r="64" spans="1:12" x14ac:dyDescent="0.35">
      <c r="A64" s="67">
        <f>+A63+1</f>
        <v>34</v>
      </c>
      <c r="B64" s="70" t="s">
        <v>71</v>
      </c>
      <c r="C64" s="16" t="s">
        <v>12</v>
      </c>
      <c r="D64" s="523" t="s">
        <v>70</v>
      </c>
      <c r="E64" s="524"/>
      <c r="F64" s="524"/>
      <c r="G64" s="524"/>
      <c r="H64" s="524"/>
      <c r="I64" s="524"/>
      <c r="J64" s="525"/>
      <c r="K64" s="9"/>
      <c r="L64" s="8"/>
    </row>
    <row r="65" spans="1:12" x14ac:dyDescent="0.35">
      <c r="A65" s="67">
        <f>+A64+1</f>
        <v>35</v>
      </c>
      <c r="B65" s="70" t="s">
        <v>72</v>
      </c>
      <c r="C65" s="16" t="s">
        <v>12</v>
      </c>
      <c r="D65" s="15">
        <v>375.1</v>
      </c>
      <c r="E65" s="15"/>
      <c r="F65" s="69">
        <f>SUM(D65:E65)</f>
        <v>375.1</v>
      </c>
      <c r="G65" s="15"/>
      <c r="H65" s="10">
        <f>MROUND((D65*(1+Sheet1!$C$3)),0.1)+4.6</f>
        <v>390.00000000000006</v>
      </c>
      <c r="I65" s="15"/>
      <c r="J65" s="15">
        <f>SUM(H65:I65)</f>
        <v>390.00000000000006</v>
      </c>
      <c r="K65" s="9">
        <f>J65-F65</f>
        <v>14.900000000000034</v>
      </c>
      <c r="L65" s="8">
        <f>IF(F65="","NEW",K65/F65)</f>
        <v>3.9722740602506086E-2</v>
      </c>
    </row>
    <row r="66" spans="1:12" x14ac:dyDescent="0.35">
      <c r="A66" s="483"/>
      <c r="B66" s="19"/>
      <c r="C66" s="16"/>
      <c r="D66" s="15"/>
      <c r="E66" s="15"/>
      <c r="F66" s="15"/>
      <c r="G66" s="15"/>
      <c r="H66" s="15"/>
      <c r="I66" s="15"/>
      <c r="J66" s="15"/>
      <c r="K66" s="9"/>
      <c r="L66" s="8"/>
    </row>
    <row r="67" spans="1:12" ht="16.5" x14ac:dyDescent="0.35">
      <c r="A67" s="67"/>
      <c r="B67" s="288" t="s">
        <v>73</v>
      </c>
      <c r="C67" s="16"/>
      <c r="D67" s="15"/>
      <c r="E67" s="15"/>
      <c r="F67" s="15"/>
      <c r="G67" s="15"/>
      <c r="H67" s="15"/>
      <c r="I67" s="15"/>
      <c r="J67" s="15"/>
      <c r="K67" s="9"/>
      <c r="L67" s="8"/>
    </row>
    <row r="68" spans="1:12" ht="31" x14ac:dyDescent="0.35">
      <c r="A68" s="67">
        <f>+A65+1</f>
        <v>36</v>
      </c>
      <c r="B68" s="68" t="s">
        <v>74</v>
      </c>
      <c r="C68" s="16" t="s">
        <v>12</v>
      </c>
      <c r="D68" s="15">
        <v>189.2</v>
      </c>
      <c r="E68" s="15"/>
      <c r="F68" s="69">
        <f t="shared" ref="F68:F71" si="1">SUM(D68:E68)</f>
        <v>189.2</v>
      </c>
      <c r="G68" s="15"/>
      <c r="H68" s="10">
        <f>D68+0.8</f>
        <v>190</v>
      </c>
      <c r="I68" s="15"/>
      <c r="J68" s="15">
        <f t="shared" ref="J68:J71" si="2">SUM(H68:I68)</f>
        <v>190</v>
      </c>
      <c r="K68" s="9">
        <f t="shared" ref="K68:K71" si="3">J68-F68</f>
        <v>0.80000000000001137</v>
      </c>
      <c r="L68" s="8">
        <f t="shared" ref="L68:L71" si="4">IF(F68="","NEW",K68/F68)</f>
        <v>4.2283298097252186E-3</v>
      </c>
    </row>
    <row r="69" spans="1:12" x14ac:dyDescent="0.35">
      <c r="A69" s="67">
        <f>A68+1</f>
        <v>37</v>
      </c>
      <c r="B69" s="70" t="s">
        <v>75</v>
      </c>
      <c r="C69" s="16" t="s">
        <v>12</v>
      </c>
      <c r="D69" s="15">
        <v>660.5</v>
      </c>
      <c r="E69" s="15"/>
      <c r="F69" s="69">
        <f t="shared" si="1"/>
        <v>660.5</v>
      </c>
      <c r="G69" s="15"/>
      <c r="H69" s="10">
        <f>MROUND((D69*(1+Sheet1!$C$3)),0.1)+71.3</f>
        <v>750</v>
      </c>
      <c r="I69" s="15"/>
      <c r="J69" s="15">
        <f t="shared" si="2"/>
        <v>750</v>
      </c>
      <c r="K69" s="9">
        <f t="shared" si="3"/>
        <v>89.5</v>
      </c>
      <c r="L69" s="8">
        <f t="shared" si="4"/>
        <v>0.13550340651021953</v>
      </c>
    </row>
    <row r="70" spans="1:12" x14ac:dyDescent="0.35">
      <c r="A70" s="67">
        <f>+A69+1</f>
        <v>38</v>
      </c>
      <c r="B70" s="70" t="s">
        <v>76</v>
      </c>
      <c r="C70" s="16" t="s">
        <v>12</v>
      </c>
      <c r="D70" s="15">
        <v>114.4</v>
      </c>
      <c r="E70" s="15"/>
      <c r="F70" s="69">
        <f t="shared" si="1"/>
        <v>114.4</v>
      </c>
      <c r="G70" s="15"/>
      <c r="H70" s="10">
        <f>MROUND((D70*(1+Sheet1!$C$3)),0.1)+7.5</f>
        <v>125</v>
      </c>
      <c r="I70" s="15"/>
      <c r="J70" s="15">
        <f t="shared" si="2"/>
        <v>125</v>
      </c>
      <c r="K70" s="9">
        <f t="shared" si="3"/>
        <v>10.599999999999994</v>
      </c>
      <c r="L70" s="8">
        <f t="shared" si="4"/>
        <v>9.2657342657342601E-2</v>
      </c>
    </row>
    <row r="71" spans="1:12" x14ac:dyDescent="0.35">
      <c r="A71" s="67">
        <f>+A70+1</f>
        <v>39</v>
      </c>
      <c r="B71" s="70" t="s">
        <v>77</v>
      </c>
      <c r="C71" s="16" t="s">
        <v>12</v>
      </c>
      <c r="D71" s="15">
        <v>26.13</v>
      </c>
      <c r="E71" s="15">
        <f>ROUND(D71*0.2,2)</f>
        <v>5.23</v>
      </c>
      <c r="F71" s="69">
        <f t="shared" si="1"/>
        <v>31.36</v>
      </c>
      <c r="G71" s="15"/>
      <c r="H71" s="10">
        <f>MROUND((D71*(1+Sheet1!$C$3)),0.1)+2.37</f>
        <v>29.17</v>
      </c>
      <c r="I71" s="15">
        <f>ROUND(H71*0.2,2)</f>
        <v>5.83</v>
      </c>
      <c r="J71" s="15">
        <f t="shared" si="2"/>
        <v>35</v>
      </c>
      <c r="K71" s="9">
        <f t="shared" si="3"/>
        <v>3.6400000000000006</v>
      </c>
      <c r="L71" s="8">
        <f t="shared" si="4"/>
        <v>0.11607142857142859</v>
      </c>
    </row>
    <row r="72" spans="1:12" x14ac:dyDescent="0.35">
      <c r="A72" s="67"/>
      <c r="B72" s="70"/>
      <c r="C72" s="16"/>
      <c r="D72" s="15"/>
      <c r="E72" s="15"/>
      <c r="F72" s="69"/>
      <c r="G72" s="15"/>
      <c r="H72" s="15"/>
      <c r="I72" s="15"/>
      <c r="J72" s="15"/>
      <c r="K72" s="9"/>
      <c r="L72" s="8"/>
    </row>
    <row r="73" spans="1:12" ht="16.5" x14ac:dyDescent="0.35">
      <c r="A73" s="67"/>
      <c r="B73" s="264" t="s">
        <v>78</v>
      </c>
      <c r="C73" s="16"/>
      <c r="D73" s="15"/>
      <c r="E73" s="15"/>
      <c r="F73" s="15"/>
      <c r="G73" s="15"/>
      <c r="H73" s="15"/>
      <c r="I73" s="15"/>
      <c r="J73" s="15"/>
      <c r="K73" s="9"/>
      <c r="L73" s="8"/>
    </row>
    <row r="74" spans="1:12" x14ac:dyDescent="0.35">
      <c r="A74" s="67">
        <f>+A71+1</f>
        <v>40</v>
      </c>
      <c r="B74" s="70" t="s">
        <v>79</v>
      </c>
      <c r="C74" s="16" t="s">
        <v>12</v>
      </c>
      <c r="D74" s="15">
        <v>1231.0999999999999</v>
      </c>
      <c r="E74" s="15">
        <f>ROUND(D74*0.2,2)</f>
        <v>246.22</v>
      </c>
      <c r="F74" s="69">
        <f t="shared" ref="F74:F88" si="5">SUM(D74:E74)</f>
        <v>1477.32</v>
      </c>
      <c r="G74" s="15"/>
      <c r="H74" s="10">
        <f>MROUND((D74*(1+Sheet1!$C$3)),0.1)-40</f>
        <v>1225</v>
      </c>
      <c r="I74" s="15">
        <f>ROUND(H74*0.2,2)</f>
        <v>245</v>
      </c>
      <c r="J74" s="15">
        <f t="shared" ref="J74:J88" si="6">SUM(H74:I74)</f>
        <v>1470</v>
      </c>
      <c r="K74" s="9">
        <f t="shared" ref="K74:K88" si="7">J74-F74</f>
        <v>-7.3199999999999363</v>
      </c>
      <c r="L74" s="8">
        <f t="shared" ref="L74:L88" si="8">IF(F74="","NEW",K74/F74)</f>
        <v>-4.9549183656891777E-3</v>
      </c>
    </row>
    <row r="75" spans="1:12" x14ac:dyDescent="0.35">
      <c r="A75" s="67">
        <f t="shared" ref="A75:A88" si="9">+A74+1</f>
        <v>41</v>
      </c>
      <c r="B75" s="70" t="s">
        <v>80</v>
      </c>
      <c r="C75" s="16" t="s">
        <v>12</v>
      </c>
      <c r="D75" s="15">
        <v>1639</v>
      </c>
      <c r="E75" s="15">
        <f>ROUND(D75*0.2,2)</f>
        <v>327.8</v>
      </c>
      <c r="F75" s="69">
        <f t="shared" si="5"/>
        <v>1966.8</v>
      </c>
      <c r="G75" s="15"/>
      <c r="H75" s="10">
        <f>MROUND((D75*(1+Sheet1!$C$3)),0.1)-50.77</f>
        <v>1633.3300000000002</v>
      </c>
      <c r="I75" s="15">
        <f>ROUND(H75*0.2,2)</f>
        <v>326.67</v>
      </c>
      <c r="J75" s="15">
        <f t="shared" si="6"/>
        <v>1960.0000000000002</v>
      </c>
      <c r="K75" s="9">
        <f t="shared" si="7"/>
        <v>-6.7999999999997272</v>
      </c>
      <c r="L75" s="8">
        <f t="shared" si="8"/>
        <v>-3.4573927191375469E-3</v>
      </c>
    </row>
    <row r="76" spans="1:12" x14ac:dyDescent="0.35">
      <c r="A76" s="67">
        <f t="shared" si="9"/>
        <v>42</v>
      </c>
      <c r="B76" s="70" t="s">
        <v>81</v>
      </c>
      <c r="C76" s="16" t="s">
        <v>12</v>
      </c>
      <c r="D76" s="15">
        <v>943.8</v>
      </c>
      <c r="E76" s="15"/>
      <c r="F76" s="69">
        <f t="shared" si="5"/>
        <v>943.8</v>
      </c>
      <c r="G76" s="15"/>
      <c r="H76" s="10">
        <f>MROUND((D76*(1+Sheet1!$C$3)),0.1)-29.8</f>
        <v>940.00000000000011</v>
      </c>
      <c r="I76" s="15"/>
      <c r="J76" s="15">
        <f t="shared" si="6"/>
        <v>940.00000000000011</v>
      </c>
      <c r="K76" s="9">
        <f t="shared" si="7"/>
        <v>-3.7999999999998408</v>
      </c>
      <c r="L76" s="8">
        <f t="shared" si="8"/>
        <v>-4.026276753549312E-3</v>
      </c>
    </row>
    <row r="77" spans="1:12" x14ac:dyDescent="0.35">
      <c r="A77" s="67">
        <f t="shared" si="9"/>
        <v>43</v>
      </c>
      <c r="B77" s="70" t="s">
        <v>82</v>
      </c>
      <c r="C77" s="16" t="s">
        <v>12</v>
      </c>
      <c r="D77" s="15">
        <v>210.46</v>
      </c>
      <c r="E77" s="15">
        <f>ROUND(D77*0.2,2)</f>
        <v>42.09</v>
      </c>
      <c r="F77" s="69">
        <f t="shared" si="5"/>
        <v>252.55</v>
      </c>
      <c r="G77" s="15"/>
      <c r="H77" s="10">
        <f>MROUND((D77*(1+Sheet1!$C$3)),0.1)-7.87</f>
        <v>208.33</v>
      </c>
      <c r="I77" s="15">
        <f>ROUND(H77*0.2,2)</f>
        <v>41.67</v>
      </c>
      <c r="J77" s="15">
        <f t="shared" si="6"/>
        <v>250</v>
      </c>
      <c r="K77" s="9">
        <f t="shared" si="7"/>
        <v>-2.5500000000000114</v>
      </c>
      <c r="L77" s="8">
        <f t="shared" si="8"/>
        <v>-1.0097010492971733E-2</v>
      </c>
    </row>
    <row r="78" spans="1:12" x14ac:dyDescent="0.35">
      <c r="A78" s="67">
        <f>+A77+1</f>
        <v>44</v>
      </c>
      <c r="B78" s="70" t="s">
        <v>83</v>
      </c>
      <c r="C78" s="16" t="s">
        <v>12</v>
      </c>
      <c r="D78" s="15">
        <v>299.75</v>
      </c>
      <c r="E78" s="15">
        <f>ROUND(D78*0.2,2)</f>
        <v>59.95</v>
      </c>
      <c r="F78" s="69">
        <f t="shared" si="5"/>
        <v>359.7</v>
      </c>
      <c r="G78" s="15"/>
      <c r="H78" s="10">
        <f>MROUND((D78*(1+Sheet1!$C$3)),0.1)-12.17</f>
        <v>295.83</v>
      </c>
      <c r="I78" s="15">
        <f>ROUND(H78*0.2,2)</f>
        <v>59.17</v>
      </c>
      <c r="J78" s="15">
        <f t="shared" si="6"/>
        <v>355</v>
      </c>
      <c r="K78" s="9">
        <f t="shared" si="7"/>
        <v>-4.6999999999999886</v>
      </c>
      <c r="L78" s="8">
        <f t="shared" si="8"/>
        <v>-1.3066444259104778E-2</v>
      </c>
    </row>
    <row r="79" spans="1:12" x14ac:dyDescent="0.35">
      <c r="A79" s="67">
        <f t="shared" si="9"/>
        <v>45</v>
      </c>
      <c r="B79" s="70" t="s">
        <v>84</v>
      </c>
      <c r="C79" s="16" t="s">
        <v>12</v>
      </c>
      <c r="D79" s="15">
        <v>346.5</v>
      </c>
      <c r="E79" s="15"/>
      <c r="F79" s="69">
        <f t="shared" si="5"/>
        <v>346.5</v>
      </c>
      <c r="G79" s="15"/>
      <c r="H79" s="10">
        <f>MROUND((D79*(1+Sheet1!$C$3)),0.1)-11</f>
        <v>345</v>
      </c>
      <c r="I79" s="15"/>
      <c r="J79" s="15">
        <f t="shared" si="6"/>
        <v>345</v>
      </c>
      <c r="K79" s="9">
        <f t="shared" si="7"/>
        <v>-1.5</v>
      </c>
      <c r="L79" s="8">
        <f t="shared" si="8"/>
        <v>-4.329004329004329E-3</v>
      </c>
    </row>
    <row r="80" spans="1:12" x14ac:dyDescent="0.35">
      <c r="A80" s="67">
        <f t="shared" si="9"/>
        <v>46</v>
      </c>
      <c r="B80" s="70" t="s">
        <v>85</v>
      </c>
      <c r="C80" s="16" t="s">
        <v>12</v>
      </c>
      <c r="D80" s="15">
        <v>660</v>
      </c>
      <c r="E80" s="15"/>
      <c r="F80" s="69">
        <f t="shared" si="5"/>
        <v>660</v>
      </c>
      <c r="G80" s="15"/>
      <c r="H80" s="10">
        <f>MROUND((D80*(1+Sheet1!$C$3)),0.1)-18.2</f>
        <v>660</v>
      </c>
      <c r="I80" s="15"/>
      <c r="J80" s="15">
        <f t="shared" si="6"/>
        <v>660</v>
      </c>
      <c r="K80" s="9">
        <f t="shared" si="7"/>
        <v>0</v>
      </c>
      <c r="L80" s="8">
        <f t="shared" si="8"/>
        <v>0</v>
      </c>
    </row>
    <row r="81" spans="1:12" x14ac:dyDescent="0.35">
      <c r="A81" s="67">
        <f t="shared" si="9"/>
        <v>47</v>
      </c>
      <c r="B81" s="70" t="s">
        <v>86</v>
      </c>
      <c r="C81" s="16" t="s">
        <v>12</v>
      </c>
      <c r="D81" s="15">
        <v>346.5</v>
      </c>
      <c r="E81" s="15"/>
      <c r="F81" s="69">
        <f t="shared" si="5"/>
        <v>346.5</v>
      </c>
      <c r="G81" s="15"/>
      <c r="H81" s="10">
        <f>MROUND((D81*(1+Sheet1!$C$3)),0.1)-11</f>
        <v>345</v>
      </c>
      <c r="I81" s="15"/>
      <c r="J81" s="15">
        <f t="shared" si="6"/>
        <v>345</v>
      </c>
      <c r="K81" s="9">
        <f t="shared" si="7"/>
        <v>-1.5</v>
      </c>
      <c r="L81" s="8">
        <f t="shared" si="8"/>
        <v>-4.329004329004329E-3</v>
      </c>
    </row>
    <row r="82" spans="1:12" x14ac:dyDescent="0.35">
      <c r="A82" s="67">
        <f t="shared" si="9"/>
        <v>48</v>
      </c>
      <c r="B82" s="70" t="s">
        <v>87</v>
      </c>
      <c r="C82" s="16" t="s">
        <v>12</v>
      </c>
      <c r="D82" s="15">
        <v>231</v>
      </c>
      <c r="E82" s="15">
        <f>ROUND(D82*0.2,2)</f>
        <v>46.2</v>
      </c>
      <c r="F82" s="69">
        <f t="shared" si="5"/>
        <v>277.2</v>
      </c>
      <c r="G82" s="15"/>
      <c r="H82" s="10">
        <f>MROUND((D82*(1+Sheet1!$C$3)),0.1)-8.23</f>
        <v>229.17000000000002</v>
      </c>
      <c r="I82" s="15">
        <f>ROUND(H82*0.2,2)</f>
        <v>45.83</v>
      </c>
      <c r="J82" s="15">
        <f t="shared" si="6"/>
        <v>275</v>
      </c>
      <c r="K82" s="9">
        <f t="shared" si="7"/>
        <v>-2.1999999999999886</v>
      </c>
      <c r="L82" s="8">
        <f t="shared" si="8"/>
        <v>-7.9365079365078962E-3</v>
      </c>
    </row>
    <row r="83" spans="1:12" x14ac:dyDescent="0.35">
      <c r="A83" s="67">
        <f t="shared" si="9"/>
        <v>49</v>
      </c>
      <c r="B83" s="70" t="s">
        <v>88</v>
      </c>
      <c r="C83" s="16" t="s">
        <v>12</v>
      </c>
      <c r="D83" s="15">
        <v>346.5</v>
      </c>
      <c r="E83" s="15"/>
      <c r="F83" s="69">
        <f t="shared" si="5"/>
        <v>346.5</v>
      </c>
      <c r="G83" s="15"/>
      <c r="H83" s="10">
        <f>MROUND((D83*(1+Sheet1!$C$3)),0.1)-11</f>
        <v>345</v>
      </c>
      <c r="I83" s="15"/>
      <c r="J83" s="15">
        <f t="shared" si="6"/>
        <v>345</v>
      </c>
      <c r="K83" s="9">
        <f t="shared" si="7"/>
        <v>-1.5</v>
      </c>
      <c r="L83" s="8">
        <f t="shared" si="8"/>
        <v>-4.329004329004329E-3</v>
      </c>
    </row>
    <row r="84" spans="1:12" x14ac:dyDescent="0.35">
      <c r="A84" s="67">
        <f t="shared" si="9"/>
        <v>50</v>
      </c>
      <c r="B84" s="70" t="s">
        <v>89</v>
      </c>
      <c r="C84" s="16" t="s">
        <v>12</v>
      </c>
      <c r="D84" s="15">
        <v>660</v>
      </c>
      <c r="E84" s="15"/>
      <c r="F84" s="69">
        <f t="shared" si="5"/>
        <v>660</v>
      </c>
      <c r="G84" s="15"/>
      <c r="H84" s="10">
        <f>MROUND((D84*(1+Sheet1!$C$3)),0.1)-18.2</f>
        <v>660</v>
      </c>
      <c r="I84" s="15"/>
      <c r="J84" s="15">
        <f t="shared" si="6"/>
        <v>660</v>
      </c>
      <c r="K84" s="9">
        <f t="shared" si="7"/>
        <v>0</v>
      </c>
      <c r="L84" s="8">
        <f t="shared" si="8"/>
        <v>0</v>
      </c>
    </row>
    <row r="85" spans="1:12" x14ac:dyDescent="0.35">
      <c r="A85" s="67">
        <f t="shared" si="9"/>
        <v>51</v>
      </c>
      <c r="B85" s="70" t="s">
        <v>90</v>
      </c>
      <c r="C85" s="16" t="s">
        <v>12</v>
      </c>
      <c r="D85" s="15">
        <v>346.5</v>
      </c>
      <c r="E85" s="15"/>
      <c r="F85" s="69">
        <f t="shared" si="5"/>
        <v>346.5</v>
      </c>
      <c r="G85" s="15"/>
      <c r="H85" s="10">
        <f>MROUND((D85*(1+Sheet1!$C$3)),0.1)-11</f>
        <v>345</v>
      </c>
      <c r="I85" s="15"/>
      <c r="J85" s="15">
        <f t="shared" si="6"/>
        <v>345</v>
      </c>
      <c r="K85" s="9">
        <f t="shared" si="7"/>
        <v>-1.5</v>
      </c>
      <c r="L85" s="8">
        <f t="shared" si="8"/>
        <v>-4.329004329004329E-3</v>
      </c>
    </row>
    <row r="86" spans="1:12" x14ac:dyDescent="0.35">
      <c r="A86" s="67">
        <f t="shared" si="9"/>
        <v>52</v>
      </c>
      <c r="B86" s="70" t="s">
        <v>91</v>
      </c>
      <c r="C86" s="16" t="s">
        <v>12</v>
      </c>
      <c r="D86" s="15">
        <v>194.33</v>
      </c>
      <c r="E86" s="15">
        <f>ROUND(D86*0.2,2)</f>
        <v>38.869999999999997</v>
      </c>
      <c r="F86" s="69">
        <f t="shared" si="5"/>
        <v>233.20000000000002</v>
      </c>
      <c r="G86" s="15"/>
      <c r="H86" s="10">
        <f>MROUND((D86*(1+Sheet1!$C$3)),0.1)-8.03</f>
        <v>191.67000000000002</v>
      </c>
      <c r="I86" s="15">
        <f>ROUND(H86*0.2,2)</f>
        <v>38.33</v>
      </c>
      <c r="J86" s="15">
        <f t="shared" si="6"/>
        <v>230</v>
      </c>
      <c r="K86" s="9">
        <f t="shared" si="7"/>
        <v>-3.2000000000000171</v>
      </c>
      <c r="L86" s="8">
        <f t="shared" si="8"/>
        <v>-1.3722126929674172E-2</v>
      </c>
    </row>
    <row r="87" spans="1:12" x14ac:dyDescent="0.35">
      <c r="A87" s="67">
        <f t="shared" si="9"/>
        <v>53</v>
      </c>
      <c r="B87" s="70" t="s">
        <v>92</v>
      </c>
      <c r="C87" s="16" t="s">
        <v>12</v>
      </c>
      <c r="D87" s="15">
        <v>262.16000000000003</v>
      </c>
      <c r="E87" s="15">
        <f>ROUND(D87*0.2,2)</f>
        <v>52.43</v>
      </c>
      <c r="F87" s="69">
        <f t="shared" si="5"/>
        <v>314.59000000000003</v>
      </c>
      <c r="G87" s="15"/>
      <c r="H87" s="10">
        <f>MROUND((D87*(1+Sheet1!$C$3)),0.1)-11.07</f>
        <v>258.33000000000004</v>
      </c>
      <c r="I87" s="15">
        <f>ROUND(H87*0.2,2)</f>
        <v>51.67</v>
      </c>
      <c r="J87" s="15">
        <f t="shared" si="6"/>
        <v>310.00000000000006</v>
      </c>
      <c r="K87" s="9">
        <f t="shared" si="7"/>
        <v>-4.589999999999975</v>
      </c>
      <c r="L87" s="8">
        <f t="shared" si="8"/>
        <v>-1.4590419275882813E-2</v>
      </c>
    </row>
    <row r="88" spans="1:12" x14ac:dyDescent="0.35">
      <c r="A88" s="67">
        <f t="shared" si="9"/>
        <v>54</v>
      </c>
      <c r="B88" s="70" t="s">
        <v>93</v>
      </c>
      <c r="C88" s="16" t="s">
        <v>12</v>
      </c>
      <c r="D88" s="15">
        <v>348.33</v>
      </c>
      <c r="E88" s="15">
        <f>ROUND(D88*0.2,2)</f>
        <v>69.67</v>
      </c>
      <c r="F88" s="69">
        <f t="shared" si="5"/>
        <v>418</v>
      </c>
      <c r="G88" s="15"/>
      <c r="H88" s="10">
        <f>MROUND((D88*(1+Sheet1!$C$3)),0.1)-12.07</f>
        <v>345.83000000000004</v>
      </c>
      <c r="I88" s="15">
        <f>ROUND(H88*0.2,2)</f>
        <v>69.17</v>
      </c>
      <c r="J88" s="15">
        <f t="shared" si="6"/>
        <v>415.00000000000006</v>
      </c>
      <c r="K88" s="9">
        <f t="shared" si="7"/>
        <v>-2.9999999999999432</v>
      </c>
      <c r="L88" s="8">
        <f t="shared" si="8"/>
        <v>-7.1770334928228305E-3</v>
      </c>
    </row>
    <row r="89" spans="1:12" x14ac:dyDescent="0.35">
      <c r="A89" s="67"/>
      <c r="B89" s="70"/>
      <c r="C89" s="16"/>
      <c r="D89" s="15"/>
      <c r="E89" s="15"/>
      <c r="F89" s="69"/>
      <c r="G89" s="15"/>
      <c r="H89" s="15"/>
      <c r="I89" s="15"/>
      <c r="J89" s="15"/>
      <c r="K89" s="9"/>
      <c r="L89" s="8"/>
    </row>
    <row r="90" spans="1:12" ht="18" x14ac:dyDescent="0.35">
      <c r="A90" s="67"/>
      <c r="B90" s="269" t="s">
        <v>94</v>
      </c>
      <c r="C90" s="16"/>
      <c r="D90" s="15"/>
      <c r="E90" s="15"/>
      <c r="F90" s="15"/>
      <c r="G90" s="15"/>
      <c r="H90" s="15"/>
      <c r="I90" s="15"/>
      <c r="J90" s="15"/>
      <c r="K90" s="9"/>
      <c r="L90" s="8"/>
    </row>
    <row r="91" spans="1:12" ht="16.5" x14ac:dyDescent="0.35">
      <c r="A91" s="67"/>
      <c r="B91" s="264" t="s">
        <v>95</v>
      </c>
      <c r="C91" s="16"/>
      <c r="D91" s="15"/>
      <c r="E91" s="15"/>
      <c r="F91" s="15"/>
      <c r="G91" s="15"/>
      <c r="H91" s="15"/>
      <c r="I91" s="15"/>
      <c r="J91" s="15"/>
      <c r="K91" s="9"/>
      <c r="L91" s="8"/>
    </row>
    <row r="92" spans="1:12" ht="31" x14ac:dyDescent="0.35">
      <c r="A92" s="67">
        <f>+A88+1</f>
        <v>55</v>
      </c>
      <c r="B92" s="70" t="s">
        <v>96</v>
      </c>
      <c r="C92" s="16" t="s">
        <v>12</v>
      </c>
      <c r="D92" s="15">
        <v>1100</v>
      </c>
      <c r="E92" s="15"/>
      <c r="F92" s="69">
        <f>SUM(D92:E92)</f>
        <v>1100</v>
      </c>
      <c r="G92" s="15"/>
      <c r="H92" s="10">
        <f>MROUND((D92*(1+Sheet1!$C$3)),0.1)-30.3</f>
        <v>1100</v>
      </c>
      <c r="I92" s="15"/>
      <c r="J92" s="15">
        <f t="shared" ref="J92:J95" si="10">SUM(H92:I92)</f>
        <v>1100</v>
      </c>
      <c r="K92" s="9">
        <f t="shared" ref="K92:K95" si="11">J92-F92</f>
        <v>0</v>
      </c>
      <c r="L92" s="8">
        <f t="shared" ref="L92:L95" si="12">IF(F92="","NEW",K92/F92)</f>
        <v>0</v>
      </c>
    </row>
    <row r="93" spans="1:12" ht="46.5" x14ac:dyDescent="0.35">
      <c r="A93" s="67">
        <f>+A92+1</f>
        <v>56</v>
      </c>
      <c r="B93" s="70" t="s">
        <v>97</v>
      </c>
      <c r="C93" s="16" t="s">
        <v>12</v>
      </c>
      <c r="D93" s="15">
        <v>880</v>
      </c>
      <c r="E93" s="15"/>
      <c r="F93" s="69">
        <f t="shared" ref="F93:F95" si="13">SUM(D93:E93)</f>
        <v>880</v>
      </c>
      <c r="G93" s="15"/>
      <c r="H93" s="10">
        <f>MROUND((D93*(1+Sheet1!$C$3)),0.1)-24.2</f>
        <v>880</v>
      </c>
      <c r="I93" s="15"/>
      <c r="J93" s="15">
        <f t="shared" si="10"/>
        <v>880</v>
      </c>
      <c r="K93" s="9">
        <f t="shared" si="11"/>
        <v>0</v>
      </c>
      <c r="L93" s="8">
        <f t="shared" si="12"/>
        <v>0</v>
      </c>
    </row>
    <row r="94" spans="1:12" ht="46.5" x14ac:dyDescent="0.35">
      <c r="A94" s="67">
        <f t="shared" ref="A94:A95" si="14">+A93+1</f>
        <v>57</v>
      </c>
      <c r="B94" s="70" t="s">
        <v>98</v>
      </c>
      <c r="C94" s="16" t="s">
        <v>12</v>
      </c>
      <c r="D94" s="15">
        <v>605</v>
      </c>
      <c r="E94" s="15"/>
      <c r="F94" s="69">
        <f t="shared" si="13"/>
        <v>605</v>
      </c>
      <c r="G94" s="15"/>
      <c r="H94" s="10">
        <f>MROUND((D94*(1+Sheet1!$C$3)),0.1)-76.6</f>
        <v>545</v>
      </c>
      <c r="I94" s="15"/>
      <c r="J94" s="15">
        <f t="shared" si="10"/>
        <v>545</v>
      </c>
      <c r="K94" s="9">
        <f t="shared" si="11"/>
        <v>-60</v>
      </c>
      <c r="L94" s="8">
        <f t="shared" si="12"/>
        <v>-9.9173553719008267E-2</v>
      </c>
    </row>
    <row r="95" spans="1:12" x14ac:dyDescent="0.35">
      <c r="A95" s="67">
        <f t="shared" si="14"/>
        <v>58</v>
      </c>
      <c r="B95" s="70" t="s">
        <v>99</v>
      </c>
      <c r="C95" s="16" t="s">
        <v>12</v>
      </c>
      <c r="D95" s="15">
        <v>242</v>
      </c>
      <c r="E95" s="15"/>
      <c r="F95" s="69">
        <f t="shared" si="13"/>
        <v>242</v>
      </c>
      <c r="G95" s="15"/>
      <c r="H95" s="10">
        <f>MROUND((D95*(1+Sheet1!$C$3)),0.1)-8.7</f>
        <v>240.00000000000003</v>
      </c>
      <c r="I95" s="15"/>
      <c r="J95" s="15">
        <f t="shared" si="10"/>
        <v>240.00000000000003</v>
      </c>
      <c r="K95" s="9">
        <f t="shared" si="11"/>
        <v>-1.9999999999999716</v>
      </c>
      <c r="L95" s="8">
        <f t="shared" si="12"/>
        <v>-8.2644628099172376E-3</v>
      </c>
    </row>
    <row r="96" spans="1:12" x14ac:dyDescent="0.35">
      <c r="A96" s="67"/>
      <c r="B96" s="19"/>
      <c r="C96" s="16"/>
      <c r="D96" s="15"/>
      <c r="E96" s="15"/>
      <c r="F96" s="69"/>
      <c r="G96" s="15"/>
      <c r="H96" s="15"/>
      <c r="I96" s="15"/>
      <c r="J96" s="15"/>
      <c r="K96" s="9"/>
      <c r="L96" s="8"/>
    </row>
    <row r="97" spans="1:12" ht="16.5" x14ac:dyDescent="0.35">
      <c r="A97" s="67"/>
      <c r="B97" s="264" t="s">
        <v>100</v>
      </c>
      <c r="C97" s="16"/>
      <c r="D97" s="15"/>
      <c r="E97" s="15"/>
      <c r="F97" s="15"/>
      <c r="G97" s="15"/>
      <c r="H97" s="15"/>
      <c r="I97" s="15"/>
      <c r="J97" s="15"/>
      <c r="K97" s="9"/>
      <c r="L97" s="8"/>
    </row>
    <row r="98" spans="1:12" x14ac:dyDescent="0.35">
      <c r="A98" s="67">
        <f>A95+1</f>
        <v>59</v>
      </c>
      <c r="B98" s="70" t="s">
        <v>101</v>
      </c>
      <c r="C98" s="16" t="s">
        <v>12</v>
      </c>
      <c r="D98" s="15">
        <v>275</v>
      </c>
      <c r="E98" s="15"/>
      <c r="F98" s="69">
        <f>SUM(D98:E98)</f>
        <v>275</v>
      </c>
      <c r="G98" s="15"/>
      <c r="H98" s="10">
        <f>MROUND((D98*(1+Sheet1!$C$3)),0.1)+2.4</f>
        <v>285</v>
      </c>
      <c r="I98" s="15"/>
      <c r="J98" s="15">
        <f>SUM(H98:I98)</f>
        <v>285</v>
      </c>
      <c r="K98" s="9">
        <f>J98-F98</f>
        <v>10</v>
      </c>
      <c r="L98" s="8">
        <f>IF(F98="","NEW",K98/F98)</f>
        <v>3.6363636363636362E-2</v>
      </c>
    </row>
    <row r="99" spans="1:12" x14ac:dyDescent="0.35">
      <c r="A99" s="67">
        <f>+A98+1</f>
        <v>60</v>
      </c>
      <c r="B99" s="70" t="s">
        <v>102</v>
      </c>
      <c r="C99" s="16" t="s">
        <v>12</v>
      </c>
      <c r="D99" s="15">
        <v>69.3</v>
      </c>
      <c r="E99" s="15"/>
      <c r="F99" s="69">
        <f>SUM(D99:E99)</f>
        <v>69.3</v>
      </c>
      <c r="G99" s="15"/>
      <c r="H99" s="10">
        <f>MROUND((D99*(1+Sheet1!$C$3)),0.1)+3.8</f>
        <v>75</v>
      </c>
      <c r="I99" s="15"/>
      <c r="J99" s="15">
        <f>SUM(H99:I99)</f>
        <v>75</v>
      </c>
      <c r="K99" s="9">
        <f>J99-F99</f>
        <v>5.7000000000000028</v>
      </c>
      <c r="L99" s="8">
        <f>IF(F99="","NEW",K99/F99)</f>
        <v>8.2251082251082297E-2</v>
      </c>
    </row>
    <row r="100" spans="1:12" ht="16.5" x14ac:dyDescent="0.35">
      <c r="A100" s="67"/>
      <c r="B100" s="264" t="s">
        <v>104</v>
      </c>
      <c r="C100" s="16"/>
      <c r="D100" s="15"/>
      <c r="E100" s="15"/>
      <c r="F100" s="15"/>
      <c r="G100" s="15"/>
      <c r="H100" s="15"/>
      <c r="I100" s="15"/>
      <c r="J100" s="15"/>
      <c r="K100" s="9"/>
      <c r="L100" s="8"/>
    </row>
    <row r="101" spans="1:12" x14ac:dyDescent="0.35">
      <c r="A101" s="67">
        <f>A99+1</f>
        <v>61</v>
      </c>
      <c r="B101" s="70" t="s">
        <v>105</v>
      </c>
      <c r="C101" s="16" t="s">
        <v>12</v>
      </c>
      <c r="D101" s="15">
        <v>49.5</v>
      </c>
      <c r="E101" s="15"/>
      <c r="F101" s="15">
        <f>SUM(D101:E101)</f>
        <v>49.5</v>
      </c>
      <c r="G101" s="15"/>
      <c r="H101" s="10">
        <f>D101+0.5</f>
        <v>50</v>
      </c>
      <c r="I101" s="15"/>
      <c r="J101" s="15">
        <f>SUM(H101:I101)</f>
        <v>50</v>
      </c>
      <c r="K101" s="9">
        <f>J101-F101</f>
        <v>0.5</v>
      </c>
      <c r="L101" s="8">
        <f>IF(F101="","NEW",K101/F101)</f>
        <v>1.0101010101010102E-2</v>
      </c>
    </row>
    <row r="102" spans="1:12" x14ac:dyDescent="0.35">
      <c r="A102" s="67">
        <f>+A101+1</f>
        <v>62</v>
      </c>
      <c r="B102" s="70" t="s">
        <v>106</v>
      </c>
      <c r="C102" s="16" t="s">
        <v>12</v>
      </c>
      <c r="D102" s="15">
        <v>77</v>
      </c>
      <c r="E102" s="15"/>
      <c r="F102" s="15">
        <f>SUM(D102:E102)</f>
        <v>77</v>
      </c>
      <c r="G102" s="15"/>
      <c r="H102" s="10">
        <f>D102+3</f>
        <v>80</v>
      </c>
      <c r="I102" s="15"/>
      <c r="J102" s="15">
        <f>SUM(H102:I102)</f>
        <v>80</v>
      </c>
      <c r="K102" s="9">
        <f>J102-F102</f>
        <v>3</v>
      </c>
      <c r="L102" s="8">
        <f>IF(F102="","NEW",K102/F102)</f>
        <v>3.896103896103896E-2</v>
      </c>
    </row>
    <row r="103" spans="1:12" x14ac:dyDescent="0.35">
      <c r="A103" s="67">
        <f>+A102+1</f>
        <v>63</v>
      </c>
      <c r="B103" s="70" t="s">
        <v>107</v>
      </c>
      <c r="C103" s="16" t="s">
        <v>12</v>
      </c>
      <c r="D103" s="15">
        <v>73.33</v>
      </c>
      <c r="E103" s="15">
        <f>ROUND(D103*0.2,2)</f>
        <v>14.67</v>
      </c>
      <c r="F103" s="15">
        <f>SUM(D103:E103)</f>
        <v>88</v>
      </c>
      <c r="G103" s="15"/>
      <c r="H103" s="10">
        <f>D103+1.67</f>
        <v>75</v>
      </c>
      <c r="I103" s="15">
        <f>ROUND(H103*0.2,2)</f>
        <v>15</v>
      </c>
      <c r="J103" s="15">
        <f>SUM(H103:I103)</f>
        <v>90</v>
      </c>
      <c r="K103" s="9">
        <f>J103-F103</f>
        <v>2</v>
      </c>
      <c r="L103" s="8">
        <f>IF(F101="","NEW",K101/F101)</f>
        <v>1.0101010101010102E-2</v>
      </c>
    </row>
    <row r="104" spans="1:12" ht="16.5" x14ac:dyDescent="0.35">
      <c r="A104" s="67"/>
      <c r="B104" s="264" t="s">
        <v>108</v>
      </c>
      <c r="C104" s="16"/>
      <c r="D104" s="15"/>
      <c r="E104" s="15"/>
      <c r="F104" s="15"/>
      <c r="G104" s="15"/>
      <c r="H104" s="15"/>
      <c r="I104" s="15"/>
      <c r="J104" s="15"/>
      <c r="K104" s="9"/>
      <c r="L104" s="8"/>
    </row>
    <row r="105" spans="1:12" x14ac:dyDescent="0.35">
      <c r="A105" s="67">
        <f>+A103+1</f>
        <v>64</v>
      </c>
      <c r="B105" s="70" t="s">
        <v>109</v>
      </c>
      <c r="C105" s="16" t="s">
        <v>12</v>
      </c>
      <c r="D105" s="15">
        <v>15.58</v>
      </c>
      <c r="E105" s="15">
        <f t="shared" ref="E105:E111" si="15">ROUND(D105*0.2,2)</f>
        <v>3.12</v>
      </c>
      <c r="F105" s="15">
        <f t="shared" ref="F105:F119" si="16">SUM(D105:E105)</f>
        <v>18.7</v>
      </c>
      <c r="G105" s="15"/>
      <c r="H105" s="10">
        <f>MROUND((D105*(1+Sheet1!$C$3)),0.1)-1</f>
        <v>15</v>
      </c>
      <c r="I105" s="15">
        <f t="shared" ref="I105:I111" si="17">ROUND(H105*0.2,2)</f>
        <v>3</v>
      </c>
      <c r="J105" s="15">
        <f t="shared" ref="J105:J119" si="18">SUM(H105:I105)</f>
        <v>18</v>
      </c>
      <c r="K105" s="9">
        <f t="shared" ref="K105:K119" si="19">J105-F105</f>
        <v>-0.69999999999999929</v>
      </c>
      <c r="L105" s="8">
        <f t="shared" ref="L105:L119" si="20">IF(F105="","NEW",K105/F105)</f>
        <v>-3.7433155080213866E-2</v>
      </c>
    </row>
    <row r="106" spans="1:12" ht="31" x14ac:dyDescent="0.35">
      <c r="A106" s="67">
        <f>+A105+1</f>
        <v>65</v>
      </c>
      <c r="B106" s="70" t="s">
        <v>110</v>
      </c>
      <c r="C106" s="16" t="s">
        <v>12</v>
      </c>
      <c r="D106" s="15">
        <v>52.25</v>
      </c>
      <c r="E106" s="15">
        <f t="shared" si="15"/>
        <v>10.45</v>
      </c>
      <c r="F106" s="15">
        <f t="shared" si="16"/>
        <v>62.7</v>
      </c>
      <c r="G106" s="15"/>
      <c r="H106" s="10">
        <f>MROUND((D106*(1+Sheet1!$C$3)),0.1)-3.7</f>
        <v>50</v>
      </c>
      <c r="I106" s="15">
        <f t="shared" si="17"/>
        <v>10</v>
      </c>
      <c r="J106" s="15">
        <f t="shared" si="18"/>
        <v>60</v>
      </c>
      <c r="K106" s="9">
        <f t="shared" si="19"/>
        <v>-2.7000000000000028</v>
      </c>
      <c r="L106" s="8">
        <f t="shared" si="20"/>
        <v>-4.3062200956937843E-2</v>
      </c>
    </row>
    <row r="107" spans="1:12" ht="31" x14ac:dyDescent="0.35">
      <c r="A107" s="67">
        <f>+A106+1</f>
        <v>66</v>
      </c>
      <c r="B107" s="70" t="s">
        <v>111</v>
      </c>
      <c r="C107" s="16" t="s">
        <v>12</v>
      </c>
      <c r="D107" s="15">
        <v>91.67</v>
      </c>
      <c r="E107" s="15">
        <f t="shared" si="15"/>
        <v>18.329999999999998</v>
      </c>
      <c r="F107" s="15">
        <f t="shared" si="16"/>
        <v>110</v>
      </c>
      <c r="G107" s="15"/>
      <c r="H107" s="10">
        <f>MROUND((D107*(1+Sheet1!$C$3)),0.1)-2.53</f>
        <v>91.67</v>
      </c>
      <c r="I107" s="15">
        <f t="shared" si="17"/>
        <v>18.329999999999998</v>
      </c>
      <c r="J107" s="15">
        <f t="shared" si="18"/>
        <v>110</v>
      </c>
      <c r="K107" s="9">
        <f t="shared" si="19"/>
        <v>0</v>
      </c>
      <c r="L107" s="8">
        <f t="shared" si="20"/>
        <v>0</v>
      </c>
    </row>
    <row r="108" spans="1:12" x14ac:dyDescent="0.35">
      <c r="A108" s="67">
        <f>+A107+1</f>
        <v>67</v>
      </c>
      <c r="B108" s="70" t="s">
        <v>112</v>
      </c>
      <c r="C108" s="16" t="s">
        <v>12</v>
      </c>
      <c r="D108" s="15">
        <v>15.58</v>
      </c>
      <c r="E108" s="15">
        <f t="shared" si="15"/>
        <v>3.12</v>
      </c>
      <c r="F108" s="15">
        <f t="shared" si="16"/>
        <v>18.7</v>
      </c>
      <c r="G108" s="15"/>
      <c r="H108" s="10">
        <f>MROUND((D108*(1+Sheet1!$C$3)),0.1)-1</f>
        <v>15</v>
      </c>
      <c r="I108" s="15">
        <f t="shared" si="17"/>
        <v>3</v>
      </c>
      <c r="J108" s="15">
        <f t="shared" si="18"/>
        <v>18</v>
      </c>
      <c r="K108" s="9">
        <f t="shared" si="19"/>
        <v>-0.69999999999999929</v>
      </c>
      <c r="L108" s="8">
        <f t="shared" si="20"/>
        <v>-3.7433155080213866E-2</v>
      </c>
    </row>
    <row r="109" spans="1:12" x14ac:dyDescent="0.35">
      <c r="A109" s="67">
        <f>+A108+1</f>
        <v>68</v>
      </c>
      <c r="B109" s="70" t="s">
        <v>113</v>
      </c>
      <c r="C109" s="16"/>
      <c r="D109" s="15">
        <v>15.58</v>
      </c>
      <c r="E109" s="15">
        <f t="shared" si="15"/>
        <v>3.12</v>
      </c>
      <c r="F109" s="15">
        <f t="shared" si="16"/>
        <v>18.7</v>
      </c>
      <c r="G109" s="15"/>
      <c r="H109" s="10">
        <f>MROUND((D109*(1+Sheet1!$C$3)),0.1)-1</f>
        <v>15</v>
      </c>
      <c r="I109" s="15">
        <f t="shared" si="17"/>
        <v>3</v>
      </c>
      <c r="J109" s="15">
        <f t="shared" si="18"/>
        <v>18</v>
      </c>
      <c r="K109" s="9">
        <f t="shared" si="19"/>
        <v>-0.69999999999999929</v>
      </c>
      <c r="L109" s="8">
        <f t="shared" si="20"/>
        <v>-3.7433155080213866E-2</v>
      </c>
    </row>
    <row r="110" spans="1:12" x14ac:dyDescent="0.35">
      <c r="A110" s="67">
        <f>+A109+1</f>
        <v>69</v>
      </c>
      <c r="B110" s="70" t="s">
        <v>114</v>
      </c>
      <c r="C110" s="16" t="s">
        <v>12</v>
      </c>
      <c r="D110" s="15">
        <v>21.08</v>
      </c>
      <c r="E110" s="15">
        <f t="shared" si="15"/>
        <v>4.22</v>
      </c>
      <c r="F110" s="15">
        <f t="shared" si="16"/>
        <v>25.299999999999997</v>
      </c>
      <c r="G110" s="15"/>
      <c r="H110" s="10">
        <f>MROUND((D110*(1+Sheet1!$C$3)),0.1)-0.87</f>
        <v>20.830000000000002</v>
      </c>
      <c r="I110" s="15">
        <f t="shared" si="17"/>
        <v>4.17</v>
      </c>
      <c r="J110" s="15">
        <f t="shared" si="18"/>
        <v>25</v>
      </c>
      <c r="K110" s="9">
        <f t="shared" si="19"/>
        <v>-0.29999999999999716</v>
      </c>
      <c r="L110" s="8">
        <f t="shared" si="20"/>
        <v>-1.1857707509881311E-2</v>
      </c>
    </row>
    <row r="111" spans="1:12" ht="31" x14ac:dyDescent="0.35">
      <c r="A111" s="67">
        <f>A110+1</f>
        <v>70</v>
      </c>
      <c r="B111" s="70" t="s">
        <v>115</v>
      </c>
      <c r="C111" s="16" t="s">
        <v>12</v>
      </c>
      <c r="D111" s="15">
        <v>36.67</v>
      </c>
      <c r="E111" s="15">
        <f t="shared" si="15"/>
        <v>7.33</v>
      </c>
      <c r="F111" s="15">
        <f t="shared" si="16"/>
        <v>44</v>
      </c>
      <c r="G111" s="15"/>
      <c r="H111" s="10">
        <f>MROUND((D111*(1+Sheet1!$C$3)),0.1)-4.37</f>
        <v>33.330000000000005</v>
      </c>
      <c r="I111" s="15">
        <f t="shared" si="17"/>
        <v>6.67</v>
      </c>
      <c r="J111" s="15">
        <f t="shared" si="18"/>
        <v>40.000000000000007</v>
      </c>
      <c r="K111" s="9">
        <f t="shared" si="19"/>
        <v>-3.9999999999999929</v>
      </c>
      <c r="L111" s="8">
        <f t="shared" si="20"/>
        <v>-9.0909090909090745E-2</v>
      </c>
    </row>
    <row r="112" spans="1:12" ht="46.5" x14ac:dyDescent="0.35">
      <c r="A112" s="67">
        <f>A111+1</f>
        <v>71</v>
      </c>
      <c r="B112" s="70" t="s">
        <v>116</v>
      </c>
      <c r="C112" s="16" t="s">
        <v>12</v>
      </c>
      <c r="D112" s="15">
        <v>192.5</v>
      </c>
      <c r="E112" s="15"/>
      <c r="F112" s="15">
        <f t="shared" si="16"/>
        <v>192.5</v>
      </c>
      <c r="G112" s="15"/>
      <c r="H112" s="10">
        <f>MROUND((D112*(1+Sheet1!$C$3)),0.1)</f>
        <v>197.8</v>
      </c>
      <c r="I112" s="15"/>
      <c r="J112" s="15">
        <f t="shared" si="18"/>
        <v>197.8</v>
      </c>
      <c r="K112" s="9">
        <f t="shared" si="19"/>
        <v>5.3000000000000114</v>
      </c>
      <c r="L112" s="8">
        <f t="shared" si="20"/>
        <v>2.7532467532467592E-2</v>
      </c>
    </row>
    <row r="113" spans="1:12" ht="46.5" x14ac:dyDescent="0.35">
      <c r="A113" s="67">
        <f>A112+1</f>
        <v>72</v>
      </c>
      <c r="B113" s="70" t="s">
        <v>117</v>
      </c>
      <c r="C113" s="16" t="s">
        <v>12</v>
      </c>
      <c r="D113" s="15">
        <v>192.5</v>
      </c>
      <c r="E113" s="15"/>
      <c r="F113" s="15">
        <f t="shared" si="16"/>
        <v>192.5</v>
      </c>
      <c r="G113" s="15"/>
      <c r="H113" s="10">
        <f>MROUND((D113*(1+Sheet1!$C$3)),0.1)</f>
        <v>197.8</v>
      </c>
      <c r="I113" s="15"/>
      <c r="J113" s="15">
        <f t="shared" si="18"/>
        <v>197.8</v>
      </c>
      <c r="K113" s="9">
        <f t="shared" si="19"/>
        <v>5.3000000000000114</v>
      </c>
      <c r="L113" s="8">
        <f t="shared" si="20"/>
        <v>2.7532467532467592E-2</v>
      </c>
    </row>
    <row r="114" spans="1:12" ht="31" x14ac:dyDescent="0.35">
      <c r="A114" s="67">
        <f>A113+1</f>
        <v>73</v>
      </c>
      <c r="B114" s="70" t="s">
        <v>118</v>
      </c>
      <c r="C114" s="16" t="s">
        <v>12</v>
      </c>
      <c r="D114" s="15">
        <v>133.1</v>
      </c>
      <c r="E114" s="15"/>
      <c r="F114" s="15">
        <f t="shared" si="16"/>
        <v>133.1</v>
      </c>
      <c r="G114" s="15"/>
      <c r="H114" s="10">
        <f>MROUND((D114*(1+Sheet1!$C$3)),0.1)-0.3</f>
        <v>136.5</v>
      </c>
      <c r="I114" s="15"/>
      <c r="J114" s="15">
        <f t="shared" si="18"/>
        <v>136.5</v>
      </c>
      <c r="K114" s="9">
        <f t="shared" si="19"/>
        <v>3.4000000000000057</v>
      </c>
      <c r="L114" s="8">
        <f t="shared" si="20"/>
        <v>2.5544703230653689E-2</v>
      </c>
    </row>
    <row r="115" spans="1:12" x14ac:dyDescent="0.35">
      <c r="A115" s="67">
        <f>A114+1</f>
        <v>74</v>
      </c>
      <c r="B115" s="70" t="s">
        <v>119</v>
      </c>
      <c r="C115" s="16" t="s">
        <v>12</v>
      </c>
      <c r="D115" s="15">
        <v>31.9</v>
      </c>
      <c r="E115" s="15"/>
      <c r="F115" s="15">
        <f t="shared" si="16"/>
        <v>31.9</v>
      </c>
      <c r="G115" s="15"/>
      <c r="H115" s="10">
        <f>MROUND((D115*(1+Sheet1!$C$3)),0.1)-0.8</f>
        <v>32.000000000000007</v>
      </c>
      <c r="I115" s="15"/>
      <c r="J115" s="15">
        <f t="shared" si="18"/>
        <v>32.000000000000007</v>
      </c>
      <c r="K115" s="9">
        <f t="shared" si="19"/>
        <v>0.10000000000000853</v>
      </c>
      <c r="L115" s="8">
        <f t="shared" si="20"/>
        <v>3.1347962382447816E-3</v>
      </c>
    </row>
    <row r="116" spans="1:12" x14ac:dyDescent="0.35">
      <c r="A116" s="67">
        <f>+A115+1</f>
        <v>75</v>
      </c>
      <c r="B116" s="70" t="s">
        <v>120</v>
      </c>
      <c r="C116" s="16" t="s">
        <v>12</v>
      </c>
      <c r="D116" s="15">
        <v>25.3</v>
      </c>
      <c r="E116" s="15"/>
      <c r="F116" s="15">
        <f t="shared" si="16"/>
        <v>25.3</v>
      </c>
      <c r="G116" s="15"/>
      <c r="H116" s="10">
        <f>MROUND((D116*(1+Sheet1!$C$3)),0.1)-1</f>
        <v>25</v>
      </c>
      <c r="I116" s="15"/>
      <c r="J116" s="15">
        <f t="shared" si="18"/>
        <v>25</v>
      </c>
      <c r="K116" s="9">
        <f t="shared" si="19"/>
        <v>-0.30000000000000071</v>
      </c>
      <c r="L116" s="8">
        <f t="shared" si="20"/>
        <v>-1.185770750988145E-2</v>
      </c>
    </row>
    <row r="117" spans="1:12" x14ac:dyDescent="0.35">
      <c r="A117" s="67">
        <f>+A116+1</f>
        <v>76</v>
      </c>
      <c r="B117" s="70" t="s">
        <v>121</v>
      </c>
      <c r="C117" s="16" t="s">
        <v>12</v>
      </c>
      <c r="D117" s="15">
        <v>150.69999999999999</v>
      </c>
      <c r="E117" s="15"/>
      <c r="F117" s="15">
        <f t="shared" si="16"/>
        <v>150.69999999999999</v>
      </c>
      <c r="G117" s="15"/>
      <c r="H117" s="10">
        <f>MROUND((D117*(1+Sheet1!$C$3)),0.1)-14.8</f>
        <v>140</v>
      </c>
      <c r="I117" s="15"/>
      <c r="J117" s="15">
        <f t="shared" si="18"/>
        <v>140</v>
      </c>
      <c r="K117" s="9">
        <f t="shared" si="19"/>
        <v>-10.699999999999989</v>
      </c>
      <c r="L117" s="8">
        <f t="shared" si="20"/>
        <v>-7.1001990710019836E-2</v>
      </c>
    </row>
    <row r="118" spans="1:12" x14ac:dyDescent="0.35">
      <c r="A118" s="67">
        <f>+A117+1</f>
        <v>77</v>
      </c>
      <c r="B118" s="70" t="s">
        <v>122</v>
      </c>
      <c r="C118" s="16" t="s">
        <v>12</v>
      </c>
      <c r="D118" s="15">
        <v>314.60000000000002</v>
      </c>
      <c r="E118" s="15"/>
      <c r="F118" s="15">
        <f t="shared" si="16"/>
        <v>314.60000000000002</v>
      </c>
      <c r="G118" s="15"/>
      <c r="H118" s="10">
        <f>MROUND((D118*(1+Sheet1!$C$3)),0.1)-23.3</f>
        <v>300</v>
      </c>
      <c r="I118" s="15"/>
      <c r="J118" s="15">
        <f t="shared" si="18"/>
        <v>300</v>
      </c>
      <c r="K118" s="9">
        <f t="shared" si="19"/>
        <v>-14.600000000000023</v>
      </c>
      <c r="L118" s="8">
        <f t="shared" si="20"/>
        <v>-4.6408137317228294E-2</v>
      </c>
    </row>
    <row r="119" spans="1:12" ht="31" x14ac:dyDescent="0.35">
      <c r="A119" s="67">
        <f>+A118+1</f>
        <v>78</v>
      </c>
      <c r="B119" s="70" t="s">
        <v>123</v>
      </c>
      <c r="C119" s="16" t="s">
        <v>12</v>
      </c>
      <c r="D119" s="15">
        <v>314.60000000000002</v>
      </c>
      <c r="E119" s="15"/>
      <c r="F119" s="15">
        <f t="shared" si="16"/>
        <v>314.60000000000002</v>
      </c>
      <c r="G119" s="15"/>
      <c r="H119" s="10">
        <f>MROUND((D119*(1+Sheet1!$C$3)),0.1)-23.3</f>
        <v>300</v>
      </c>
      <c r="I119" s="15"/>
      <c r="J119" s="15">
        <f t="shared" si="18"/>
        <v>300</v>
      </c>
      <c r="K119" s="9">
        <f t="shared" si="19"/>
        <v>-14.600000000000023</v>
      </c>
      <c r="L119" s="8">
        <f t="shared" si="20"/>
        <v>-4.6408137317228294E-2</v>
      </c>
    </row>
    <row r="120" spans="1:12" x14ac:dyDescent="0.35">
      <c r="A120" s="67"/>
      <c r="B120" s="484"/>
      <c r="C120" s="72"/>
      <c r="D120" s="73"/>
      <c r="E120" s="73"/>
      <c r="F120" s="73"/>
      <c r="G120" s="73"/>
      <c r="H120" s="73"/>
      <c r="I120" s="73"/>
      <c r="J120" s="73"/>
      <c r="K120" s="74"/>
      <c r="L120" s="75"/>
    </row>
    <row r="121" spans="1:12" ht="18" x14ac:dyDescent="0.35">
      <c r="A121" s="67"/>
      <c r="B121" s="269" t="s">
        <v>124</v>
      </c>
      <c r="C121" s="16"/>
      <c r="D121" s="15"/>
      <c r="E121" s="15"/>
      <c r="F121" s="15"/>
      <c r="G121" s="15"/>
      <c r="H121" s="15"/>
      <c r="I121" s="15"/>
      <c r="J121" s="15"/>
      <c r="K121" s="9"/>
      <c r="L121" s="8"/>
    </row>
    <row r="122" spans="1:12" ht="16.5" x14ac:dyDescent="0.35">
      <c r="A122" s="67"/>
      <c r="B122" s="264" t="s">
        <v>125</v>
      </c>
      <c r="C122" s="16"/>
      <c r="D122" s="15"/>
      <c r="E122" s="15"/>
      <c r="F122" s="15"/>
      <c r="G122" s="15"/>
      <c r="H122" s="15"/>
      <c r="I122" s="15"/>
      <c r="J122" s="15"/>
      <c r="K122" s="9"/>
      <c r="L122" s="8"/>
    </row>
    <row r="123" spans="1:12" x14ac:dyDescent="0.35">
      <c r="A123" s="67">
        <f>A119+1</f>
        <v>79</v>
      </c>
      <c r="B123" s="70" t="s">
        <v>126</v>
      </c>
      <c r="C123" s="16" t="s">
        <v>12</v>
      </c>
      <c r="D123" s="15">
        <v>126.5</v>
      </c>
      <c r="E123" s="15">
        <f t="shared" ref="E123:E130" si="21">ROUND(D123*0.2,2)</f>
        <v>25.3</v>
      </c>
      <c r="F123" s="69">
        <f t="shared" ref="F123:F130" si="22">SUM(D123:E123)</f>
        <v>151.80000000000001</v>
      </c>
      <c r="G123" s="15"/>
      <c r="H123" s="10">
        <f>MROUND((D123*(1+Sheet1!$C$3)),0.1)-0.83</f>
        <v>129.16999999999999</v>
      </c>
      <c r="I123" s="15">
        <f t="shared" ref="I123:I130" si="23">ROUND(H123*0.2,2)</f>
        <v>25.83</v>
      </c>
      <c r="J123" s="15">
        <f t="shared" ref="J123:J130" si="24">SUM(H123:I123)</f>
        <v>155</v>
      </c>
      <c r="K123" s="9">
        <f t="shared" ref="K123:K130" si="25">J123-F123</f>
        <v>3.1999999999999886</v>
      </c>
      <c r="L123" s="8">
        <f t="shared" ref="L123:L130" si="26">IF(F123="","NEW",K123/F123)</f>
        <v>2.1080368906455788E-2</v>
      </c>
    </row>
    <row r="124" spans="1:12" x14ac:dyDescent="0.35">
      <c r="A124" s="67">
        <f t="shared" ref="A124:A130" si="27">+A123+1</f>
        <v>80</v>
      </c>
      <c r="B124" s="70" t="s">
        <v>127</v>
      </c>
      <c r="C124" s="16" t="s">
        <v>12</v>
      </c>
      <c r="D124" s="15">
        <v>188.83</v>
      </c>
      <c r="E124" s="15">
        <f t="shared" si="21"/>
        <v>37.770000000000003</v>
      </c>
      <c r="F124" s="69">
        <f t="shared" si="22"/>
        <v>226.60000000000002</v>
      </c>
      <c r="G124" s="15"/>
      <c r="H124" s="10">
        <f>MROUND((D124*(1+Sheet1!$C$3)),0.1)-2.33</f>
        <v>191.67</v>
      </c>
      <c r="I124" s="15">
        <f t="shared" si="23"/>
        <v>38.33</v>
      </c>
      <c r="J124" s="15">
        <f t="shared" si="24"/>
        <v>230</v>
      </c>
      <c r="K124" s="9">
        <f t="shared" si="25"/>
        <v>3.3999999999999773</v>
      </c>
      <c r="L124" s="8">
        <f t="shared" si="26"/>
        <v>1.5004413062665388E-2</v>
      </c>
    </row>
    <row r="125" spans="1:12" x14ac:dyDescent="0.35">
      <c r="A125" s="67">
        <f t="shared" si="27"/>
        <v>81</v>
      </c>
      <c r="B125" s="70" t="s">
        <v>128</v>
      </c>
      <c r="C125" s="16" t="s">
        <v>12</v>
      </c>
      <c r="D125" s="15">
        <v>324.5</v>
      </c>
      <c r="E125" s="15">
        <f t="shared" si="21"/>
        <v>64.900000000000006</v>
      </c>
      <c r="F125" s="69">
        <f t="shared" si="22"/>
        <v>389.4</v>
      </c>
      <c r="G125" s="15"/>
      <c r="H125" s="10">
        <f>MROUND((D125*(1+Sheet1!$C$3)),0.1)-0.07</f>
        <v>333.33000000000004</v>
      </c>
      <c r="I125" s="15">
        <f t="shared" si="23"/>
        <v>66.67</v>
      </c>
      <c r="J125" s="15">
        <f t="shared" si="24"/>
        <v>400.00000000000006</v>
      </c>
      <c r="K125" s="9">
        <f t="shared" si="25"/>
        <v>10.60000000000008</v>
      </c>
      <c r="L125" s="8">
        <f t="shared" si="26"/>
        <v>2.7221366204417258E-2</v>
      </c>
    </row>
    <row r="126" spans="1:12" x14ac:dyDescent="0.35">
      <c r="A126" s="67">
        <f t="shared" si="27"/>
        <v>82</v>
      </c>
      <c r="B126" s="70" t="s">
        <v>129</v>
      </c>
      <c r="C126" s="16" t="s">
        <v>12</v>
      </c>
      <c r="D126" s="15">
        <v>336.41</v>
      </c>
      <c r="E126" s="15">
        <f t="shared" si="21"/>
        <v>67.28</v>
      </c>
      <c r="F126" s="69">
        <f t="shared" si="22"/>
        <v>403.69000000000005</v>
      </c>
      <c r="G126" s="15"/>
      <c r="H126" s="10">
        <f>MROUND((D126*(1+Sheet1!$C$3)),0.1)-4.03</f>
        <v>341.67000000000007</v>
      </c>
      <c r="I126" s="15">
        <f t="shared" si="23"/>
        <v>68.33</v>
      </c>
      <c r="J126" s="15">
        <f t="shared" si="24"/>
        <v>410.00000000000006</v>
      </c>
      <c r="K126" s="9">
        <f t="shared" si="25"/>
        <v>6.3100000000000023</v>
      </c>
      <c r="L126" s="8">
        <f t="shared" si="26"/>
        <v>1.5630805816344229E-2</v>
      </c>
    </row>
    <row r="127" spans="1:12" x14ac:dyDescent="0.35">
      <c r="A127" s="67">
        <f t="shared" si="27"/>
        <v>83</v>
      </c>
      <c r="B127" s="70" t="s">
        <v>130</v>
      </c>
      <c r="C127" s="16" t="s">
        <v>12</v>
      </c>
      <c r="D127" s="15">
        <v>262.16000000000003</v>
      </c>
      <c r="E127" s="15">
        <f t="shared" si="21"/>
        <v>52.43</v>
      </c>
      <c r="F127" s="69">
        <f t="shared" si="22"/>
        <v>314.59000000000003</v>
      </c>
      <c r="G127" s="15"/>
      <c r="H127" s="10">
        <f>MROUND((D127*(1+Sheet1!$C$3)),0.1)-2.73</f>
        <v>266.67</v>
      </c>
      <c r="I127" s="15">
        <f t="shared" si="23"/>
        <v>53.33</v>
      </c>
      <c r="J127" s="15">
        <f t="shared" si="24"/>
        <v>320</v>
      </c>
      <c r="K127" s="9">
        <f t="shared" si="25"/>
        <v>5.4099999999999682</v>
      </c>
      <c r="L127" s="8">
        <f t="shared" si="26"/>
        <v>1.7196986553927231E-2</v>
      </c>
    </row>
    <row r="128" spans="1:12" x14ac:dyDescent="0.35">
      <c r="A128" s="67">
        <f t="shared" si="27"/>
        <v>84</v>
      </c>
      <c r="B128" s="70" t="s">
        <v>131</v>
      </c>
      <c r="C128" s="16" t="s">
        <v>12</v>
      </c>
      <c r="D128" s="15">
        <v>399.66</v>
      </c>
      <c r="E128" s="15">
        <f t="shared" si="21"/>
        <v>79.930000000000007</v>
      </c>
      <c r="F128" s="69">
        <f t="shared" si="22"/>
        <v>479.59000000000003</v>
      </c>
      <c r="G128" s="15"/>
      <c r="H128" s="10">
        <f>MROUND((D128*(1+Sheet1!$C$3)),0.1)-2.37</f>
        <v>408.33000000000004</v>
      </c>
      <c r="I128" s="15">
        <f t="shared" si="23"/>
        <v>81.67</v>
      </c>
      <c r="J128" s="15">
        <f t="shared" si="24"/>
        <v>490.00000000000006</v>
      </c>
      <c r="K128" s="9">
        <f t="shared" si="25"/>
        <v>10.410000000000025</v>
      </c>
      <c r="L128" s="8">
        <f t="shared" si="26"/>
        <v>2.1706040576325664E-2</v>
      </c>
    </row>
    <row r="129" spans="1:12" x14ac:dyDescent="0.35">
      <c r="A129" s="67">
        <f t="shared" si="27"/>
        <v>85</v>
      </c>
      <c r="B129" s="70" t="s">
        <v>132</v>
      </c>
      <c r="C129" s="16" t="s">
        <v>12</v>
      </c>
      <c r="D129" s="15">
        <v>409.75</v>
      </c>
      <c r="E129" s="15">
        <f t="shared" si="21"/>
        <v>81.95</v>
      </c>
      <c r="F129" s="69">
        <f t="shared" si="22"/>
        <v>491.7</v>
      </c>
      <c r="G129" s="15"/>
      <c r="H129" s="10">
        <f>MROUND((D129*(1+Sheet1!$C$3)),0.1)-0.17</f>
        <v>420.83</v>
      </c>
      <c r="I129" s="15">
        <f t="shared" si="23"/>
        <v>84.17</v>
      </c>
      <c r="J129" s="15">
        <f t="shared" si="24"/>
        <v>505</v>
      </c>
      <c r="K129" s="9">
        <f t="shared" si="25"/>
        <v>13.300000000000011</v>
      </c>
      <c r="L129" s="8">
        <f t="shared" si="26"/>
        <v>2.7049013626194857E-2</v>
      </c>
    </row>
    <row r="130" spans="1:12" x14ac:dyDescent="0.35">
      <c r="A130" s="67">
        <f t="shared" si="27"/>
        <v>86</v>
      </c>
      <c r="B130" s="70" t="s">
        <v>133</v>
      </c>
      <c r="C130" s="16" t="s">
        <v>12</v>
      </c>
      <c r="D130" s="15">
        <v>452.83</v>
      </c>
      <c r="E130" s="15">
        <f t="shared" si="21"/>
        <v>90.57</v>
      </c>
      <c r="F130" s="69">
        <f t="shared" si="22"/>
        <v>543.4</v>
      </c>
      <c r="G130" s="15"/>
      <c r="H130" s="10">
        <f>MROUND((D130*(1+Sheet1!$C$3)),0.1)-2.8</f>
        <v>462.5</v>
      </c>
      <c r="I130" s="15">
        <f t="shared" si="23"/>
        <v>92.5</v>
      </c>
      <c r="J130" s="15">
        <f t="shared" si="24"/>
        <v>555</v>
      </c>
      <c r="K130" s="9">
        <f t="shared" si="25"/>
        <v>11.600000000000023</v>
      </c>
      <c r="L130" s="8">
        <f t="shared" si="26"/>
        <v>2.1347073978652969E-2</v>
      </c>
    </row>
    <row r="131" spans="1:12" x14ac:dyDescent="0.35">
      <c r="A131" s="67"/>
      <c r="B131" s="70"/>
      <c r="C131" s="16"/>
      <c r="D131" s="15"/>
      <c r="E131" s="15"/>
      <c r="F131" s="69"/>
      <c r="G131" s="15"/>
      <c r="H131" s="15"/>
      <c r="I131" s="15"/>
      <c r="J131" s="15"/>
      <c r="K131" s="9"/>
      <c r="L131" s="8"/>
    </row>
    <row r="132" spans="1:12" ht="16.5" x14ac:dyDescent="0.35">
      <c r="A132" s="67"/>
      <c r="B132" s="264" t="s">
        <v>134</v>
      </c>
      <c r="C132" s="16"/>
      <c r="D132" s="15"/>
      <c r="E132" s="15"/>
      <c r="F132" s="69"/>
      <c r="G132" s="15"/>
      <c r="H132" s="15"/>
      <c r="I132" s="15"/>
      <c r="J132" s="15"/>
      <c r="K132" s="9"/>
      <c r="L132" s="8"/>
    </row>
    <row r="133" spans="1:12" x14ac:dyDescent="0.35">
      <c r="A133" s="67">
        <f>+A130+1</f>
        <v>87</v>
      </c>
      <c r="B133" s="70" t="s">
        <v>126</v>
      </c>
      <c r="C133" s="16" t="s">
        <v>12</v>
      </c>
      <c r="D133" s="15">
        <v>88.92</v>
      </c>
      <c r="E133" s="15">
        <f t="shared" ref="E133:E140" si="28">ROUND(D133*0.2,2)</f>
        <v>17.78</v>
      </c>
      <c r="F133" s="69">
        <f t="shared" ref="F133:F140" si="29">SUM(D133:E133)</f>
        <v>106.7</v>
      </c>
      <c r="G133" s="15"/>
      <c r="H133" s="10">
        <f>MROUND((D133*(1+Sheet1!$C$3)),0.1)-3.9</f>
        <v>87.5</v>
      </c>
      <c r="I133" s="15">
        <f t="shared" ref="I133:I140" si="30">ROUND(H133*0.2,2)</f>
        <v>17.5</v>
      </c>
      <c r="J133" s="15">
        <f t="shared" ref="J133:J140" si="31">SUM(H133:I133)</f>
        <v>105</v>
      </c>
      <c r="K133" s="9">
        <f t="shared" ref="K133:K140" si="32">J133-F133</f>
        <v>-1.7000000000000028</v>
      </c>
      <c r="L133" s="8">
        <f t="shared" ref="L133:L140" si="33">IF(F133="","NEW",K133/F133)</f>
        <v>-1.5932521087160288E-2</v>
      </c>
    </row>
    <row r="134" spans="1:12" x14ac:dyDescent="0.35">
      <c r="A134" s="67">
        <f t="shared" ref="A134:A140" si="34">+A133+1</f>
        <v>88</v>
      </c>
      <c r="B134" s="70" t="s">
        <v>127</v>
      </c>
      <c r="C134" s="16" t="s">
        <v>12</v>
      </c>
      <c r="D134" s="15">
        <v>110.92</v>
      </c>
      <c r="E134" s="15">
        <f t="shared" si="28"/>
        <v>22.18</v>
      </c>
      <c r="F134" s="69">
        <f t="shared" si="29"/>
        <v>133.1</v>
      </c>
      <c r="G134" s="15"/>
      <c r="H134" s="10">
        <f>MROUND((D134*(1+Sheet1!$C$3)),0.1)-1.5</f>
        <v>112.5</v>
      </c>
      <c r="I134" s="15">
        <f t="shared" si="30"/>
        <v>22.5</v>
      </c>
      <c r="J134" s="15">
        <f t="shared" si="31"/>
        <v>135</v>
      </c>
      <c r="K134" s="9">
        <f t="shared" si="32"/>
        <v>1.9000000000000057</v>
      </c>
      <c r="L134" s="8">
        <f t="shared" si="33"/>
        <v>1.4274981217130021E-2</v>
      </c>
    </row>
    <row r="135" spans="1:12" x14ac:dyDescent="0.35">
      <c r="A135" s="67">
        <f t="shared" si="34"/>
        <v>89</v>
      </c>
      <c r="B135" s="70" t="s">
        <v>128</v>
      </c>
      <c r="C135" s="16" t="s">
        <v>12</v>
      </c>
      <c r="D135" s="15">
        <v>229.16</v>
      </c>
      <c r="E135" s="15">
        <f t="shared" si="28"/>
        <v>45.83</v>
      </c>
      <c r="F135" s="69">
        <f t="shared" si="29"/>
        <v>274.99</v>
      </c>
      <c r="G135" s="15"/>
      <c r="H135" s="10">
        <f>MROUND((D135*(1+Sheet1!$C$3)),0.1)-2.17</f>
        <v>233.33</v>
      </c>
      <c r="I135" s="15">
        <f t="shared" si="30"/>
        <v>46.67</v>
      </c>
      <c r="J135" s="15">
        <f t="shared" si="31"/>
        <v>280</v>
      </c>
      <c r="K135" s="9">
        <f t="shared" si="32"/>
        <v>5.0099999999999909</v>
      </c>
      <c r="L135" s="8">
        <f t="shared" si="33"/>
        <v>1.8218844321611662E-2</v>
      </c>
    </row>
    <row r="136" spans="1:12" x14ac:dyDescent="0.35">
      <c r="A136" s="67">
        <f t="shared" si="34"/>
        <v>90</v>
      </c>
      <c r="B136" s="70" t="s">
        <v>129</v>
      </c>
      <c r="C136" s="16" t="s">
        <v>12</v>
      </c>
      <c r="D136" s="15">
        <v>252.08</v>
      </c>
      <c r="E136" s="15">
        <f t="shared" si="28"/>
        <v>50.42</v>
      </c>
      <c r="F136" s="69">
        <f t="shared" si="29"/>
        <v>302.5</v>
      </c>
      <c r="G136" s="15"/>
      <c r="H136" s="10">
        <f>MROUND((D136*(1+Sheet1!$C$3)),0.1)-0.67</f>
        <v>258.33</v>
      </c>
      <c r="I136" s="15">
        <f t="shared" si="30"/>
        <v>51.67</v>
      </c>
      <c r="J136" s="15">
        <f t="shared" si="31"/>
        <v>310</v>
      </c>
      <c r="K136" s="9">
        <f t="shared" si="32"/>
        <v>7.5</v>
      </c>
      <c r="L136" s="8">
        <f t="shared" si="33"/>
        <v>2.4793388429752067E-2</v>
      </c>
    </row>
    <row r="137" spans="1:12" x14ac:dyDescent="0.35">
      <c r="A137" s="67">
        <f t="shared" si="34"/>
        <v>91</v>
      </c>
      <c r="B137" s="70" t="s">
        <v>130</v>
      </c>
      <c r="C137" s="16" t="s">
        <v>12</v>
      </c>
      <c r="D137" s="15">
        <v>141.16999999999999</v>
      </c>
      <c r="E137" s="15">
        <f t="shared" si="28"/>
        <v>28.23</v>
      </c>
      <c r="F137" s="69">
        <f t="shared" si="29"/>
        <v>169.39999999999998</v>
      </c>
      <c r="G137" s="15"/>
      <c r="H137" s="10">
        <f>MROUND((D137*(1+Sheet1!$C$3)),0.1)-3.43</f>
        <v>141.66999999999999</v>
      </c>
      <c r="I137" s="15">
        <f t="shared" si="30"/>
        <v>28.33</v>
      </c>
      <c r="J137" s="15">
        <f t="shared" si="31"/>
        <v>170</v>
      </c>
      <c r="K137" s="9">
        <f t="shared" si="32"/>
        <v>0.60000000000002274</v>
      </c>
      <c r="L137" s="8">
        <f t="shared" si="33"/>
        <v>3.5419126328218586E-3</v>
      </c>
    </row>
    <row r="138" spans="1:12" x14ac:dyDescent="0.35">
      <c r="A138" s="67">
        <f t="shared" si="34"/>
        <v>92</v>
      </c>
      <c r="B138" s="70" t="s">
        <v>131</v>
      </c>
      <c r="C138" s="16" t="s">
        <v>12</v>
      </c>
      <c r="D138" s="15">
        <v>289.66000000000003</v>
      </c>
      <c r="E138" s="15">
        <f t="shared" si="28"/>
        <v>57.93</v>
      </c>
      <c r="F138" s="69">
        <f t="shared" si="29"/>
        <v>347.59000000000003</v>
      </c>
      <c r="G138" s="15"/>
      <c r="H138" s="10">
        <f>MROUND((D138*(1+Sheet1!$C$3)),0.1)-1.77</f>
        <v>295.83000000000004</v>
      </c>
      <c r="I138" s="15">
        <f t="shared" si="30"/>
        <v>59.17</v>
      </c>
      <c r="J138" s="15">
        <f t="shared" si="31"/>
        <v>355.00000000000006</v>
      </c>
      <c r="K138" s="9">
        <f t="shared" si="32"/>
        <v>7.410000000000025</v>
      </c>
      <c r="L138" s="8">
        <f t="shared" si="33"/>
        <v>2.1318219741649713E-2</v>
      </c>
    </row>
    <row r="139" spans="1:12" x14ac:dyDescent="0.35">
      <c r="A139" s="67">
        <f t="shared" si="34"/>
        <v>93</v>
      </c>
      <c r="B139" s="485" t="s">
        <v>132</v>
      </c>
      <c r="C139" s="16" t="s">
        <v>12</v>
      </c>
      <c r="D139" s="15">
        <v>299.75</v>
      </c>
      <c r="E139" s="15">
        <f t="shared" si="28"/>
        <v>59.95</v>
      </c>
      <c r="F139" s="69">
        <f t="shared" si="29"/>
        <v>359.7</v>
      </c>
      <c r="G139" s="15"/>
      <c r="H139" s="10">
        <f>MROUND((D139*(1+Sheet1!$C$3)),0.1)-3.83</f>
        <v>304.17</v>
      </c>
      <c r="I139" s="15">
        <f t="shared" si="30"/>
        <v>60.83</v>
      </c>
      <c r="J139" s="15">
        <f t="shared" si="31"/>
        <v>365</v>
      </c>
      <c r="K139" s="9">
        <f t="shared" si="32"/>
        <v>5.3000000000000114</v>
      </c>
      <c r="L139" s="8">
        <f t="shared" si="33"/>
        <v>1.4734500973033115E-2</v>
      </c>
    </row>
    <row r="140" spans="1:12" x14ac:dyDescent="0.35">
      <c r="A140" s="67">
        <f t="shared" si="34"/>
        <v>94</v>
      </c>
      <c r="B140" s="70" t="s">
        <v>133</v>
      </c>
      <c r="C140" s="16" t="s">
        <v>12</v>
      </c>
      <c r="D140" s="15">
        <v>326.33</v>
      </c>
      <c r="E140" s="15">
        <f t="shared" si="28"/>
        <v>65.27</v>
      </c>
      <c r="F140" s="69">
        <f t="shared" si="29"/>
        <v>391.59999999999997</v>
      </c>
      <c r="G140" s="15"/>
      <c r="H140" s="10">
        <f>MROUND((D140*(1+Sheet1!$C$3)),0.1)-1.97</f>
        <v>333.33</v>
      </c>
      <c r="I140" s="15">
        <f t="shared" si="30"/>
        <v>66.67</v>
      </c>
      <c r="J140" s="15">
        <f t="shared" si="31"/>
        <v>400</v>
      </c>
      <c r="K140" s="9">
        <f t="shared" si="32"/>
        <v>8.4000000000000341</v>
      </c>
      <c r="L140" s="8">
        <f t="shared" si="33"/>
        <v>2.1450459652706932E-2</v>
      </c>
    </row>
    <row r="141" spans="1:12" x14ac:dyDescent="0.35">
      <c r="A141" s="67"/>
      <c r="B141" s="70"/>
      <c r="C141" s="16"/>
      <c r="D141" s="15"/>
      <c r="E141" s="15"/>
      <c r="F141" s="69"/>
      <c r="G141" s="15"/>
      <c r="H141" s="15"/>
      <c r="I141" s="15"/>
      <c r="J141" s="15"/>
      <c r="K141" s="9"/>
      <c r="L141" s="8"/>
    </row>
    <row r="142" spans="1:12" ht="16.5" x14ac:dyDescent="0.35">
      <c r="A142" s="67"/>
      <c r="B142" s="264" t="s">
        <v>135</v>
      </c>
      <c r="C142" s="16"/>
      <c r="D142" s="15"/>
      <c r="E142" s="15"/>
      <c r="F142" s="69"/>
      <c r="G142" s="15"/>
      <c r="H142" s="15"/>
      <c r="I142" s="15"/>
      <c r="J142" s="15"/>
      <c r="K142" s="9"/>
      <c r="L142" s="8"/>
    </row>
    <row r="143" spans="1:12" x14ac:dyDescent="0.35">
      <c r="A143" s="67">
        <f>+A140+1</f>
        <v>95</v>
      </c>
      <c r="B143" s="70" t="s">
        <v>126</v>
      </c>
      <c r="C143" s="16" t="s">
        <v>12</v>
      </c>
      <c r="D143" s="15">
        <v>121</v>
      </c>
      <c r="E143" s="15">
        <f t="shared" ref="E143:E151" si="35">ROUND(D143*0.2,2)</f>
        <v>24.2</v>
      </c>
      <c r="F143" s="69">
        <f t="shared" ref="F143:F151" si="36">SUM(D143:E143)</f>
        <v>145.19999999999999</v>
      </c>
      <c r="G143" s="15"/>
      <c r="H143" s="10">
        <f>MROUND((D143*(1+Sheet1!$C$3)),0.1)-3.47</f>
        <v>120.83000000000001</v>
      </c>
      <c r="I143" s="15">
        <f t="shared" ref="I143:I151" si="37">ROUND(H143*0.2,2)</f>
        <v>24.17</v>
      </c>
      <c r="J143" s="15">
        <f t="shared" ref="J143:J151" si="38">SUM(H143:I143)</f>
        <v>145</v>
      </c>
      <c r="K143" s="9">
        <f t="shared" ref="K143:K151" si="39">J143-F143</f>
        <v>-0.19999999999998863</v>
      </c>
      <c r="L143" s="8">
        <f t="shared" ref="L143:L151" si="40">IF(F143="","NEW",K143/F143)</f>
        <v>-1.377410468319481E-3</v>
      </c>
    </row>
    <row r="144" spans="1:12" x14ac:dyDescent="0.35">
      <c r="A144" s="67">
        <f t="shared" ref="A144:A151" si="41">+A143+1</f>
        <v>96</v>
      </c>
      <c r="B144" s="70" t="s">
        <v>127</v>
      </c>
      <c r="C144" s="16" t="s">
        <v>12</v>
      </c>
      <c r="D144" s="15">
        <v>151.25</v>
      </c>
      <c r="E144" s="15">
        <f t="shared" si="35"/>
        <v>30.25</v>
      </c>
      <c r="F144" s="69">
        <f t="shared" si="36"/>
        <v>181.5</v>
      </c>
      <c r="G144" s="15"/>
      <c r="H144" s="10">
        <f>MROUND((D144*(1+Sheet1!$C$3)),0.1)-1.23</f>
        <v>154.17000000000002</v>
      </c>
      <c r="I144" s="15">
        <f t="shared" si="37"/>
        <v>30.83</v>
      </c>
      <c r="J144" s="15">
        <f t="shared" si="38"/>
        <v>185</v>
      </c>
      <c r="K144" s="9">
        <f t="shared" si="39"/>
        <v>3.5</v>
      </c>
      <c r="L144" s="8">
        <f t="shared" si="40"/>
        <v>1.928374655647383E-2</v>
      </c>
    </row>
    <row r="145" spans="1:12" x14ac:dyDescent="0.35">
      <c r="A145" s="67">
        <f t="shared" si="41"/>
        <v>97</v>
      </c>
      <c r="B145" s="70" t="s">
        <v>128</v>
      </c>
      <c r="C145" s="16" t="s">
        <v>12</v>
      </c>
      <c r="D145" s="15">
        <v>289.66000000000003</v>
      </c>
      <c r="E145" s="15">
        <f t="shared" si="35"/>
        <v>57.93</v>
      </c>
      <c r="F145" s="69">
        <f t="shared" si="36"/>
        <v>347.59000000000003</v>
      </c>
      <c r="G145" s="15"/>
      <c r="H145" s="10">
        <f>MROUND((D145*(1+Sheet1!$C$3)),0.1)-1.77</f>
        <v>295.83000000000004</v>
      </c>
      <c r="I145" s="15">
        <f t="shared" si="37"/>
        <v>59.17</v>
      </c>
      <c r="J145" s="15">
        <f t="shared" si="38"/>
        <v>355.00000000000006</v>
      </c>
      <c r="K145" s="9">
        <f t="shared" si="39"/>
        <v>7.410000000000025</v>
      </c>
      <c r="L145" s="8">
        <f t="shared" si="40"/>
        <v>2.1318219741649713E-2</v>
      </c>
    </row>
    <row r="146" spans="1:12" x14ac:dyDescent="0.35">
      <c r="A146" s="67">
        <f t="shared" si="41"/>
        <v>98</v>
      </c>
      <c r="B146" s="70" t="s">
        <v>129</v>
      </c>
      <c r="C146" s="16" t="s">
        <v>12</v>
      </c>
      <c r="D146" s="15">
        <v>299.75</v>
      </c>
      <c r="E146" s="15">
        <f t="shared" si="35"/>
        <v>59.95</v>
      </c>
      <c r="F146" s="69">
        <f t="shared" si="36"/>
        <v>359.7</v>
      </c>
      <c r="G146" s="15"/>
      <c r="H146" s="10">
        <f>MROUND((D146*(1+Sheet1!$C$3)),0.1)-3.83</f>
        <v>304.17</v>
      </c>
      <c r="I146" s="15">
        <f t="shared" si="37"/>
        <v>60.83</v>
      </c>
      <c r="J146" s="15">
        <f t="shared" si="38"/>
        <v>365</v>
      </c>
      <c r="K146" s="9">
        <f t="shared" si="39"/>
        <v>5.3000000000000114</v>
      </c>
      <c r="L146" s="8">
        <f t="shared" si="40"/>
        <v>1.4734500973033115E-2</v>
      </c>
    </row>
    <row r="147" spans="1:12" x14ac:dyDescent="0.35">
      <c r="A147" s="67">
        <f t="shared" si="41"/>
        <v>99</v>
      </c>
      <c r="B147" s="70" t="s">
        <v>130</v>
      </c>
      <c r="C147" s="16" t="s">
        <v>12</v>
      </c>
      <c r="D147" s="15">
        <v>174.17</v>
      </c>
      <c r="E147" s="15">
        <f t="shared" si="35"/>
        <v>34.83</v>
      </c>
      <c r="F147" s="69">
        <f t="shared" si="36"/>
        <v>209</v>
      </c>
      <c r="G147" s="15"/>
      <c r="H147" s="10">
        <f>MROUND((D147*(1+Sheet1!$C$3)),0.1)-4</f>
        <v>175</v>
      </c>
      <c r="I147" s="15">
        <f t="shared" si="37"/>
        <v>35</v>
      </c>
      <c r="J147" s="15">
        <f t="shared" si="38"/>
        <v>210</v>
      </c>
      <c r="K147" s="9">
        <f t="shared" si="39"/>
        <v>1</v>
      </c>
      <c r="L147" s="8">
        <f t="shared" si="40"/>
        <v>4.7846889952153108E-3</v>
      </c>
    </row>
    <row r="148" spans="1:12" x14ac:dyDescent="0.35">
      <c r="A148" s="67">
        <f t="shared" si="41"/>
        <v>100</v>
      </c>
      <c r="B148" s="70" t="s">
        <v>131</v>
      </c>
      <c r="C148" s="16" t="s">
        <v>12</v>
      </c>
      <c r="D148" s="15">
        <v>320.83</v>
      </c>
      <c r="E148" s="15">
        <f t="shared" si="35"/>
        <v>64.17</v>
      </c>
      <c r="F148" s="69">
        <f t="shared" si="36"/>
        <v>385</v>
      </c>
      <c r="G148" s="15"/>
      <c r="H148" s="10">
        <f>MROUND((D148*(1+Sheet1!$C$3)),0.1)-0.53</f>
        <v>329.17000000000007</v>
      </c>
      <c r="I148" s="15">
        <f t="shared" si="37"/>
        <v>65.83</v>
      </c>
      <c r="J148" s="15">
        <f t="shared" si="38"/>
        <v>395.00000000000006</v>
      </c>
      <c r="K148" s="9">
        <f t="shared" si="39"/>
        <v>10.000000000000057</v>
      </c>
      <c r="L148" s="8">
        <f t="shared" si="40"/>
        <v>2.5974025974026121E-2</v>
      </c>
    </row>
    <row r="149" spans="1:12" x14ac:dyDescent="0.35">
      <c r="A149" s="67">
        <f t="shared" si="41"/>
        <v>101</v>
      </c>
      <c r="B149" s="70" t="s">
        <v>132</v>
      </c>
      <c r="C149" s="16" t="s">
        <v>12</v>
      </c>
      <c r="D149" s="15">
        <v>330.91</v>
      </c>
      <c r="E149" s="15">
        <f t="shared" si="35"/>
        <v>66.180000000000007</v>
      </c>
      <c r="F149" s="69">
        <f t="shared" si="36"/>
        <v>397.09000000000003</v>
      </c>
      <c r="G149" s="15"/>
      <c r="H149" s="10">
        <f>MROUND((D149*(1+Sheet1!$C$3)),0.1)-2.5</f>
        <v>337.5</v>
      </c>
      <c r="I149" s="15">
        <f t="shared" si="37"/>
        <v>67.5</v>
      </c>
      <c r="J149" s="15">
        <f t="shared" si="38"/>
        <v>405</v>
      </c>
      <c r="K149" s="9">
        <f t="shared" si="39"/>
        <v>7.9099999999999682</v>
      </c>
      <c r="L149" s="8">
        <f t="shared" si="40"/>
        <v>1.9919917399078214E-2</v>
      </c>
    </row>
    <row r="150" spans="1:12" x14ac:dyDescent="0.35">
      <c r="A150" s="67">
        <f t="shared" si="41"/>
        <v>102</v>
      </c>
      <c r="B150" s="70" t="s">
        <v>133</v>
      </c>
      <c r="C150" s="16" t="s">
        <v>12</v>
      </c>
      <c r="D150" s="15">
        <v>358.41</v>
      </c>
      <c r="E150" s="15">
        <f t="shared" si="35"/>
        <v>71.680000000000007</v>
      </c>
      <c r="F150" s="69">
        <f t="shared" si="36"/>
        <v>430.09000000000003</v>
      </c>
      <c r="G150" s="15"/>
      <c r="H150" s="10">
        <f>MROUND((D150*(1+Sheet1!$C$3)),0.1)-1.63</f>
        <v>366.67</v>
      </c>
      <c r="I150" s="15">
        <f t="shared" si="37"/>
        <v>73.33</v>
      </c>
      <c r="J150" s="15">
        <f t="shared" si="38"/>
        <v>440</v>
      </c>
      <c r="K150" s="9">
        <f t="shared" si="39"/>
        <v>9.9099999999999682</v>
      </c>
      <c r="L150" s="8">
        <f t="shared" si="40"/>
        <v>2.3041688948824589E-2</v>
      </c>
    </row>
    <row r="151" spans="1:12" x14ac:dyDescent="0.35">
      <c r="A151" s="67">
        <f t="shared" si="41"/>
        <v>103</v>
      </c>
      <c r="B151" s="70" t="s">
        <v>136</v>
      </c>
      <c r="C151" s="16" t="s">
        <v>12</v>
      </c>
      <c r="D151" s="15">
        <v>27.5</v>
      </c>
      <c r="E151" s="15">
        <f t="shared" si="35"/>
        <v>5.5</v>
      </c>
      <c r="F151" s="69">
        <f t="shared" si="36"/>
        <v>33</v>
      </c>
      <c r="G151" s="15"/>
      <c r="H151" s="10">
        <f>MROUND((D151*(1+Sheet1!$C$3)),0.1)-3.3</f>
        <v>25</v>
      </c>
      <c r="I151" s="15">
        <f t="shared" si="37"/>
        <v>5</v>
      </c>
      <c r="J151" s="15">
        <f t="shared" si="38"/>
        <v>30</v>
      </c>
      <c r="K151" s="9">
        <f t="shared" si="39"/>
        <v>-3</v>
      </c>
      <c r="L151" s="8">
        <f t="shared" si="40"/>
        <v>-9.0909090909090912E-2</v>
      </c>
    </row>
    <row r="152" spans="1:12" x14ac:dyDescent="0.35">
      <c r="A152" s="67"/>
      <c r="B152" s="70"/>
      <c r="C152" s="16"/>
      <c r="D152" s="15"/>
      <c r="E152" s="15"/>
      <c r="F152" s="69"/>
      <c r="G152" s="15"/>
      <c r="H152" s="15"/>
      <c r="I152" s="15"/>
      <c r="J152" s="15"/>
      <c r="K152" s="9"/>
      <c r="L152" s="8"/>
    </row>
    <row r="153" spans="1:12" ht="16.5" x14ac:dyDescent="0.35">
      <c r="A153" s="67"/>
      <c r="B153" s="264" t="s">
        <v>137</v>
      </c>
      <c r="C153" s="16"/>
      <c r="D153" s="15"/>
      <c r="E153" s="15"/>
      <c r="F153" s="15"/>
      <c r="G153" s="15"/>
      <c r="H153" s="15"/>
      <c r="I153" s="15"/>
      <c r="J153" s="15"/>
      <c r="K153" s="9"/>
      <c r="L153" s="8"/>
    </row>
    <row r="154" spans="1:12" x14ac:dyDescent="0.35">
      <c r="A154" s="67">
        <f>A151+1</f>
        <v>104</v>
      </c>
      <c r="B154" s="70" t="s">
        <v>138</v>
      </c>
      <c r="C154" s="16" t="s">
        <v>12</v>
      </c>
      <c r="D154" s="15">
        <v>96.25</v>
      </c>
      <c r="E154" s="15">
        <f>ROUND(D154*0.2,2)</f>
        <v>19.25</v>
      </c>
      <c r="F154" s="69">
        <f>SUM(D154:E154)</f>
        <v>115.5</v>
      </c>
      <c r="G154" s="15"/>
      <c r="H154" s="10">
        <f>MROUND((D154*(1+Sheet1!$C$3)),0.1)-3.07</f>
        <v>95.830000000000013</v>
      </c>
      <c r="I154" s="15">
        <f>ROUND(H154*0.2,2)</f>
        <v>19.170000000000002</v>
      </c>
      <c r="J154" s="15">
        <f>SUM(H154:I154)</f>
        <v>115.00000000000001</v>
      </c>
      <c r="K154" s="9">
        <f>J154-F154</f>
        <v>-0.49999999999998579</v>
      </c>
      <c r="L154" s="8">
        <f>IF(F154="","NEW",K154/F154)</f>
        <v>-4.3290043290042058E-3</v>
      </c>
    </row>
    <row r="155" spans="1:12" x14ac:dyDescent="0.35">
      <c r="A155" s="67">
        <f>+A154+1</f>
        <v>105</v>
      </c>
      <c r="B155" s="70" t="s">
        <v>139</v>
      </c>
      <c r="C155" s="16" t="s">
        <v>12</v>
      </c>
      <c r="D155" s="15">
        <v>253</v>
      </c>
      <c r="E155" s="15"/>
      <c r="F155" s="69">
        <f>SUM(D155:E155)</f>
        <v>253</v>
      </c>
      <c r="G155" s="15"/>
      <c r="H155" s="10">
        <f>MROUND((D155*(1+Sheet1!$C$3)),0.1)-5</f>
        <v>255</v>
      </c>
      <c r="I155" s="15"/>
      <c r="J155" s="15">
        <f>SUM(H155:I155)</f>
        <v>255</v>
      </c>
      <c r="K155" s="9">
        <f>J155-F155</f>
        <v>2</v>
      </c>
      <c r="L155" s="8">
        <f>IF(F155="","NEW",K155/F155)</f>
        <v>7.9051383399209481E-3</v>
      </c>
    </row>
    <row r="156" spans="1:12" x14ac:dyDescent="0.35">
      <c r="A156" s="67">
        <f>+A155+1</f>
        <v>106</v>
      </c>
      <c r="B156" s="70" t="s">
        <v>140</v>
      </c>
      <c r="C156" s="16" t="s">
        <v>12</v>
      </c>
      <c r="D156" s="15">
        <v>478.5</v>
      </c>
      <c r="E156" s="15"/>
      <c r="F156" s="69">
        <f>SUM(D156:E156)</f>
        <v>478.5</v>
      </c>
      <c r="G156" s="15"/>
      <c r="H156" s="10">
        <f>MROUND((D156*(1+Sheet1!$C$3)),0.1)-1.7</f>
        <v>490.00000000000006</v>
      </c>
      <c r="I156" s="15"/>
      <c r="J156" s="15">
        <f>SUM(H156:I156)</f>
        <v>490.00000000000006</v>
      </c>
      <c r="K156" s="9">
        <f>J156-F156</f>
        <v>11.500000000000057</v>
      </c>
      <c r="L156" s="8">
        <f>IF(F156="","NEW",K156/F156)</f>
        <v>2.4033437826541392E-2</v>
      </c>
    </row>
    <row r="157" spans="1:12" x14ac:dyDescent="0.35">
      <c r="A157" s="67">
        <f>+A156+1</f>
        <v>107</v>
      </c>
      <c r="B157" s="70" t="s">
        <v>141</v>
      </c>
      <c r="C157" s="16" t="s">
        <v>12</v>
      </c>
      <c r="D157" s="15">
        <v>253</v>
      </c>
      <c r="E157" s="15"/>
      <c r="F157" s="69">
        <f>SUM(D157:E157)</f>
        <v>253</v>
      </c>
      <c r="G157" s="15"/>
      <c r="H157" s="10">
        <f>MROUND((D157*(1+Sheet1!$C$3)),0.1)-5</f>
        <v>255</v>
      </c>
      <c r="I157" s="15"/>
      <c r="J157" s="15">
        <f>SUM(H157:I157)</f>
        <v>255</v>
      </c>
      <c r="K157" s="9">
        <f>J157-F157</f>
        <v>2</v>
      </c>
      <c r="L157" s="8">
        <f>IF(F157="","NEW",K157/F157)</f>
        <v>7.9051383399209481E-3</v>
      </c>
    </row>
    <row r="158" spans="1:12" x14ac:dyDescent="0.35">
      <c r="A158" s="67">
        <f>+A157+1</f>
        <v>108</v>
      </c>
      <c r="B158" s="70" t="s">
        <v>142</v>
      </c>
      <c r="C158" s="16" t="s">
        <v>12</v>
      </c>
      <c r="D158" s="15">
        <v>5.5</v>
      </c>
      <c r="E158" s="15">
        <f>ROUND(D158*0.2,2)</f>
        <v>1.1000000000000001</v>
      </c>
      <c r="F158" s="69">
        <f>SUM(D158:E158)</f>
        <v>6.6</v>
      </c>
      <c r="G158" s="15"/>
      <c r="H158" s="10">
        <f>MROUND((D158*(1+Sheet1!$C$3)),0.1)-0.28</f>
        <v>5.42</v>
      </c>
      <c r="I158" s="15">
        <f>ROUND(H158*0.2,2)</f>
        <v>1.08</v>
      </c>
      <c r="J158" s="15">
        <f>SUM(H158:I158)</f>
        <v>6.5</v>
      </c>
      <c r="K158" s="9">
        <f>J158-F158</f>
        <v>-9.9999999999999645E-2</v>
      </c>
      <c r="L158" s="8">
        <f>IF(F158="","NEW",K158/F158)</f>
        <v>-1.5151515151515098E-2</v>
      </c>
    </row>
    <row r="159" spans="1:12" x14ac:dyDescent="0.35">
      <c r="A159" s="67"/>
      <c r="B159" s="70"/>
      <c r="C159" s="16"/>
      <c r="D159" s="15"/>
      <c r="E159" s="15"/>
      <c r="F159" s="69"/>
      <c r="G159" s="15"/>
      <c r="H159" s="15"/>
      <c r="I159" s="15"/>
      <c r="J159" s="15"/>
      <c r="K159" s="9"/>
      <c r="L159" s="8"/>
    </row>
    <row r="160" spans="1:12" ht="16.5" x14ac:dyDescent="0.35">
      <c r="A160" s="67"/>
      <c r="B160" s="264" t="s">
        <v>143</v>
      </c>
      <c r="C160" s="16"/>
      <c r="D160" s="15"/>
      <c r="E160" s="15"/>
      <c r="F160" s="69"/>
      <c r="G160" s="15"/>
      <c r="H160" s="15"/>
      <c r="I160" s="15"/>
      <c r="J160" s="15"/>
      <c r="K160" s="9"/>
      <c r="L160" s="8"/>
    </row>
    <row r="161" spans="1:12" x14ac:dyDescent="0.35">
      <c r="A161" s="67">
        <f>A158+1</f>
        <v>109</v>
      </c>
      <c r="B161" s="70" t="s">
        <v>144</v>
      </c>
      <c r="C161" s="16" t="s">
        <v>12</v>
      </c>
      <c r="D161" s="15">
        <v>41.8</v>
      </c>
      <c r="E161" s="15">
        <f>ROUND(D161*0.2,2)</f>
        <v>8.36</v>
      </c>
      <c r="F161" s="69">
        <f>SUM(D161:E161)</f>
        <v>50.16</v>
      </c>
      <c r="G161" s="15"/>
      <c r="H161" s="10">
        <f>MROUND((D161*(1+Sheet1!$C$3)),0.1)-1.23</f>
        <v>41.670000000000009</v>
      </c>
      <c r="I161" s="15">
        <f>ROUND(H161*0.2,2)</f>
        <v>8.33</v>
      </c>
      <c r="J161" s="15">
        <f>SUM(H161:I161)</f>
        <v>50.000000000000007</v>
      </c>
      <c r="K161" s="9">
        <f>J161-F161</f>
        <v>-0.15999999999998948</v>
      </c>
      <c r="L161" s="8">
        <f>IF(F161="","NEW",K161/F161)</f>
        <v>-3.1897926634766646E-3</v>
      </c>
    </row>
    <row r="162" spans="1:12" x14ac:dyDescent="0.35">
      <c r="A162" s="67">
        <f>A161+1</f>
        <v>110</v>
      </c>
      <c r="B162" s="70" t="s">
        <v>145</v>
      </c>
      <c r="C162" s="16" t="s">
        <v>12</v>
      </c>
      <c r="D162" s="15">
        <v>63.8</v>
      </c>
      <c r="E162" s="15">
        <f>ROUND(D162*0.2,2)</f>
        <v>12.76</v>
      </c>
      <c r="F162" s="69">
        <f>SUM(D162:E162)</f>
        <v>76.56</v>
      </c>
      <c r="G162" s="15"/>
      <c r="H162" s="10">
        <f>MROUND((D162*(1+Sheet1!$C$3)),0.1)-3.1</f>
        <v>62.500000000000007</v>
      </c>
      <c r="I162" s="15">
        <f>ROUND(H162*0.2,2)</f>
        <v>12.5</v>
      </c>
      <c r="J162" s="15">
        <f>SUM(H162:I162)</f>
        <v>75</v>
      </c>
      <c r="K162" s="9">
        <f>J162-F162</f>
        <v>-1.5600000000000023</v>
      </c>
      <c r="L162" s="8">
        <f>IF(F162="","NEW",K162/F162)</f>
        <v>-2.0376175548589372E-2</v>
      </c>
    </row>
    <row r="163" spans="1:12" x14ac:dyDescent="0.35">
      <c r="A163" s="67">
        <f>A162+1</f>
        <v>111</v>
      </c>
      <c r="B163" s="70" t="s">
        <v>146</v>
      </c>
      <c r="C163" s="16" t="s">
        <v>12</v>
      </c>
      <c r="D163" s="15">
        <v>31.9</v>
      </c>
      <c r="E163" s="15">
        <f>ROUND(D163*0.2,2)</f>
        <v>6.38</v>
      </c>
      <c r="F163" s="69">
        <f>SUM(D163:E163)</f>
        <v>38.28</v>
      </c>
      <c r="G163" s="15"/>
      <c r="H163" s="10">
        <f>MROUND((D163*(1+Sheet1!$C$3)),0.1)-3.63</f>
        <v>29.170000000000005</v>
      </c>
      <c r="I163" s="15">
        <f>ROUND(H163*0.2,2)</f>
        <v>5.83</v>
      </c>
      <c r="J163" s="15">
        <f>SUM(H163:I163)</f>
        <v>35.000000000000007</v>
      </c>
      <c r="K163" s="9">
        <f>J163-F163</f>
        <v>-3.279999999999994</v>
      </c>
      <c r="L163" s="8">
        <f>IF(F163="","NEW",K163/F163)</f>
        <v>-8.568443051201656E-2</v>
      </c>
    </row>
    <row r="164" spans="1:12" x14ac:dyDescent="0.35">
      <c r="A164" s="67">
        <f>A163+1</f>
        <v>112</v>
      </c>
      <c r="B164" s="70" t="s">
        <v>139</v>
      </c>
      <c r="C164" s="16" t="s">
        <v>12</v>
      </c>
      <c r="D164" s="15">
        <v>126.5</v>
      </c>
      <c r="E164" s="15"/>
      <c r="F164" s="69">
        <f>SUM(D164:E164)</f>
        <v>126.5</v>
      </c>
      <c r="G164" s="15"/>
      <c r="H164" s="10">
        <f>MROUND((D164*(1+Sheet1!$C$3)),0.1)-5</f>
        <v>125</v>
      </c>
      <c r="I164" s="15"/>
      <c r="J164" s="15">
        <f>SUM(H164:I164)</f>
        <v>125</v>
      </c>
      <c r="K164" s="9">
        <f>J164-F164</f>
        <v>-1.5</v>
      </c>
      <c r="L164" s="8">
        <f>IF(F164="","NEW",K164/F164)</f>
        <v>-1.1857707509881422E-2</v>
      </c>
    </row>
    <row r="165" spans="1:12" x14ac:dyDescent="0.35">
      <c r="A165" s="67"/>
      <c r="B165" s="70"/>
      <c r="C165" s="16"/>
      <c r="D165" s="15"/>
      <c r="E165" s="15"/>
      <c r="F165" s="69"/>
      <c r="G165" s="15"/>
      <c r="H165" s="15"/>
      <c r="I165" s="15"/>
      <c r="J165" s="15"/>
      <c r="K165" s="9"/>
      <c r="L165" s="8"/>
    </row>
    <row r="166" spans="1:12" ht="16.5" x14ac:dyDescent="0.35">
      <c r="A166" s="67"/>
      <c r="B166" s="264" t="s">
        <v>147</v>
      </c>
      <c r="C166" s="16"/>
      <c r="D166" s="15"/>
      <c r="E166" s="15"/>
      <c r="F166" s="15"/>
      <c r="G166" s="15"/>
      <c r="H166" s="15"/>
      <c r="I166" s="15"/>
      <c r="J166" s="15"/>
      <c r="K166" s="9"/>
      <c r="L166" s="8"/>
    </row>
    <row r="167" spans="1:12" x14ac:dyDescent="0.35">
      <c r="A167" s="67">
        <f>A164+1</f>
        <v>113</v>
      </c>
      <c r="B167" s="70" t="s">
        <v>148</v>
      </c>
      <c r="C167" s="16" t="s">
        <v>12</v>
      </c>
      <c r="D167" s="15">
        <v>126.5</v>
      </c>
      <c r="E167" s="15">
        <f>ROUND(D167*0.2,2)</f>
        <v>25.3</v>
      </c>
      <c r="F167" s="69">
        <f>SUM(D167:E167)</f>
        <v>151.80000000000001</v>
      </c>
      <c r="G167" s="15"/>
      <c r="H167" s="10">
        <f>MROUND((D167*(1+Sheet1!$C$3)),0.1)-0.83</f>
        <v>129.16999999999999</v>
      </c>
      <c r="I167" s="15">
        <f>ROUND(H167*0.2,2)</f>
        <v>25.83</v>
      </c>
      <c r="J167" s="15">
        <f>SUM(H167:I167)</f>
        <v>155</v>
      </c>
      <c r="K167" s="9">
        <f>J167-F167</f>
        <v>3.1999999999999886</v>
      </c>
      <c r="L167" s="8">
        <f>IF(F167="","NEW",K167/F167)</f>
        <v>2.1080368906455788E-2</v>
      </c>
    </row>
    <row r="168" spans="1:12" x14ac:dyDescent="0.35">
      <c r="A168" s="67">
        <f>A167+1</f>
        <v>114</v>
      </c>
      <c r="B168" s="70" t="s">
        <v>149</v>
      </c>
      <c r="C168" s="16" t="s">
        <v>12</v>
      </c>
      <c r="D168" s="15">
        <v>126.5</v>
      </c>
      <c r="E168" s="15"/>
      <c r="F168" s="69">
        <f>SUM(D168:E168)</f>
        <v>126.5</v>
      </c>
      <c r="G168" s="15"/>
      <c r="H168" s="10">
        <f>MROUND((D168*(1+Sheet1!$C$3)),0.1)-5</f>
        <v>125</v>
      </c>
      <c r="I168" s="15"/>
      <c r="J168" s="15">
        <f>SUM(H168:I168)</f>
        <v>125</v>
      </c>
      <c r="K168" s="9">
        <f>J168-F168</f>
        <v>-1.5</v>
      </c>
      <c r="L168" s="8">
        <f>IF(F168="","NEW",K168/F168)</f>
        <v>-1.1857707509881422E-2</v>
      </c>
    </row>
    <row r="169" spans="1:12" x14ac:dyDescent="0.35">
      <c r="A169" s="67">
        <f>A168+1</f>
        <v>115</v>
      </c>
      <c r="B169" s="70" t="s">
        <v>150</v>
      </c>
      <c r="C169" s="16" t="s">
        <v>12</v>
      </c>
      <c r="D169" s="15">
        <v>113.3</v>
      </c>
      <c r="E169" s="15"/>
      <c r="F169" s="69">
        <f>SUM(D169:E169)</f>
        <v>113.3</v>
      </c>
      <c r="G169" s="15"/>
      <c r="H169" s="10">
        <f>MROUND((D169*(1+Sheet1!$C$3)),0.1)-1.4</f>
        <v>115</v>
      </c>
      <c r="I169" s="15"/>
      <c r="J169" s="15">
        <f>SUM(H169:I169)</f>
        <v>115</v>
      </c>
      <c r="K169" s="9">
        <f>J169-F169</f>
        <v>1.7000000000000028</v>
      </c>
      <c r="L169" s="8">
        <f>IF(F169="","NEW",K169/F169)</f>
        <v>1.5004413062665515E-2</v>
      </c>
    </row>
    <row r="170" spans="1:12" x14ac:dyDescent="0.35">
      <c r="A170" s="67"/>
      <c r="B170" s="70"/>
      <c r="C170" s="16"/>
      <c r="D170" s="15"/>
      <c r="E170" s="15"/>
      <c r="F170" s="69"/>
      <c r="G170" s="15"/>
      <c r="H170" s="15"/>
      <c r="I170" s="15"/>
      <c r="J170" s="15"/>
      <c r="K170" s="9"/>
      <c r="L170" s="8"/>
    </row>
    <row r="171" spans="1:12" ht="16.5" x14ac:dyDescent="0.35">
      <c r="A171" s="67"/>
      <c r="B171" s="264" t="s">
        <v>151</v>
      </c>
      <c r="C171" s="16"/>
      <c r="D171" s="15"/>
      <c r="E171" s="15"/>
      <c r="F171" s="15"/>
      <c r="G171" s="15"/>
      <c r="H171" s="15"/>
      <c r="I171" s="15"/>
      <c r="J171" s="15"/>
      <c r="K171" s="9"/>
      <c r="L171" s="8"/>
    </row>
    <row r="172" spans="1:12" x14ac:dyDescent="0.35">
      <c r="A172" s="67">
        <f>A169+1</f>
        <v>116</v>
      </c>
      <c r="B172" s="70" t="s">
        <v>152</v>
      </c>
      <c r="C172" s="16" t="s">
        <v>12</v>
      </c>
      <c r="D172" s="15">
        <v>299.75</v>
      </c>
      <c r="E172" s="15">
        <f>ROUND(D172*0.2,2)</f>
        <v>59.95</v>
      </c>
      <c r="F172" s="69">
        <f t="shared" ref="F172:F187" si="42">SUM(D172:E172)</f>
        <v>359.7</v>
      </c>
      <c r="G172" s="15"/>
      <c r="H172" s="10">
        <f>MROUND((D172*(1+Sheet1!$C$3)),0.1)-3.83</f>
        <v>304.17</v>
      </c>
      <c r="I172" s="15">
        <f>ROUND(H172*0.2,2)</f>
        <v>60.83</v>
      </c>
      <c r="J172" s="15">
        <f t="shared" ref="J172:J187" si="43">SUM(H172:I172)</f>
        <v>365</v>
      </c>
      <c r="K172" s="9">
        <f t="shared" ref="K172:K187" si="44">J172-F172</f>
        <v>5.3000000000000114</v>
      </c>
      <c r="L172" s="8">
        <f t="shared" ref="L172:L187" si="45">IF(F172="","NEW",K172/F172)</f>
        <v>1.4734500973033115E-2</v>
      </c>
    </row>
    <row r="173" spans="1:12" x14ac:dyDescent="0.35">
      <c r="A173" s="67">
        <f t="shared" ref="A173:A187" si="46">+A172+1</f>
        <v>117</v>
      </c>
      <c r="B173" s="70" t="s">
        <v>153</v>
      </c>
      <c r="C173" s="16" t="s">
        <v>12</v>
      </c>
      <c r="D173" s="15">
        <v>346.5</v>
      </c>
      <c r="E173" s="15"/>
      <c r="F173" s="69">
        <f t="shared" si="42"/>
        <v>346.5</v>
      </c>
      <c r="G173" s="15"/>
      <c r="H173" s="10">
        <f>MROUND((D173*(1+Sheet1!$C$3)),0.1)-1</f>
        <v>355</v>
      </c>
      <c r="I173" s="15"/>
      <c r="J173" s="15">
        <f t="shared" si="43"/>
        <v>355</v>
      </c>
      <c r="K173" s="9">
        <f t="shared" si="44"/>
        <v>8.5</v>
      </c>
      <c r="L173" s="8">
        <f t="shared" si="45"/>
        <v>2.4531024531024532E-2</v>
      </c>
    </row>
    <row r="174" spans="1:12" x14ac:dyDescent="0.35">
      <c r="A174" s="67">
        <f t="shared" si="46"/>
        <v>118</v>
      </c>
      <c r="B174" s="70" t="s">
        <v>154</v>
      </c>
      <c r="C174" s="16" t="s">
        <v>12</v>
      </c>
      <c r="D174" s="15">
        <v>660</v>
      </c>
      <c r="E174" s="15"/>
      <c r="F174" s="69">
        <f t="shared" si="42"/>
        <v>660</v>
      </c>
      <c r="G174" s="15"/>
      <c r="H174" s="10">
        <f>MROUND((D174*(1+Sheet1!$C$3)),0.1)-3.2</f>
        <v>675</v>
      </c>
      <c r="I174" s="15"/>
      <c r="J174" s="15">
        <f t="shared" si="43"/>
        <v>675</v>
      </c>
      <c r="K174" s="9">
        <f t="shared" si="44"/>
        <v>15</v>
      </c>
      <c r="L174" s="8">
        <f t="shared" si="45"/>
        <v>2.2727272727272728E-2</v>
      </c>
    </row>
    <row r="175" spans="1:12" s="76" customFormat="1" x14ac:dyDescent="0.25">
      <c r="A175" s="67">
        <f t="shared" si="46"/>
        <v>119</v>
      </c>
      <c r="B175" s="70" t="s">
        <v>155</v>
      </c>
      <c r="C175" s="16" t="s">
        <v>12</v>
      </c>
      <c r="D175" s="15">
        <v>346.5</v>
      </c>
      <c r="E175" s="15"/>
      <c r="F175" s="69">
        <f t="shared" si="42"/>
        <v>346.5</v>
      </c>
      <c r="G175" s="15"/>
      <c r="H175" s="10">
        <f>MROUND((D175*(1+Sheet1!$C$3)),0.1)-1</f>
        <v>355</v>
      </c>
      <c r="I175" s="15"/>
      <c r="J175" s="15">
        <f t="shared" si="43"/>
        <v>355</v>
      </c>
      <c r="K175" s="9">
        <f t="shared" si="44"/>
        <v>8.5</v>
      </c>
      <c r="L175" s="8">
        <f t="shared" si="45"/>
        <v>2.4531024531024532E-2</v>
      </c>
    </row>
    <row r="176" spans="1:12" s="76" customFormat="1" x14ac:dyDescent="0.25">
      <c r="A176" s="67">
        <f t="shared" si="46"/>
        <v>120</v>
      </c>
      <c r="B176" s="70" t="s">
        <v>87</v>
      </c>
      <c r="C176" s="16" t="s">
        <v>12</v>
      </c>
      <c r="D176" s="15">
        <v>231</v>
      </c>
      <c r="E176" s="15">
        <f>ROUND(D176*0.2,2)</f>
        <v>46.2</v>
      </c>
      <c r="F176" s="69">
        <f t="shared" si="42"/>
        <v>277.2</v>
      </c>
      <c r="G176" s="15"/>
      <c r="H176" s="10">
        <f>MROUND((D176*(1+Sheet1!$C$3)),0.1)-4.07</f>
        <v>233.33</v>
      </c>
      <c r="I176" s="15">
        <f>ROUND(H176*0.2,2)</f>
        <v>46.67</v>
      </c>
      <c r="J176" s="15">
        <f t="shared" si="43"/>
        <v>280</v>
      </c>
      <c r="K176" s="9">
        <f t="shared" si="44"/>
        <v>2.8000000000000114</v>
      </c>
      <c r="L176" s="8">
        <f t="shared" si="45"/>
        <v>1.0101010101010142E-2</v>
      </c>
    </row>
    <row r="177" spans="1:12" s="76" customFormat="1" x14ac:dyDescent="0.25">
      <c r="A177" s="67">
        <f t="shared" si="46"/>
        <v>121</v>
      </c>
      <c r="B177" s="70" t="s">
        <v>88</v>
      </c>
      <c r="C177" s="16" t="s">
        <v>12</v>
      </c>
      <c r="D177" s="15">
        <v>344.3</v>
      </c>
      <c r="E177" s="15"/>
      <c r="F177" s="69">
        <f t="shared" si="42"/>
        <v>344.3</v>
      </c>
      <c r="G177" s="15"/>
      <c r="H177" s="10">
        <f>MROUND((D177*(1+Sheet1!$C$3)),0.1)-3.8</f>
        <v>350</v>
      </c>
      <c r="I177" s="15"/>
      <c r="J177" s="15">
        <f t="shared" si="43"/>
        <v>350</v>
      </c>
      <c r="K177" s="9">
        <f t="shared" si="44"/>
        <v>5.6999999999999886</v>
      </c>
      <c r="L177" s="8">
        <f t="shared" si="45"/>
        <v>1.6555329654371155E-2</v>
      </c>
    </row>
    <row r="178" spans="1:12" s="76" customFormat="1" x14ac:dyDescent="0.25">
      <c r="A178" s="67">
        <f t="shared" si="46"/>
        <v>122</v>
      </c>
      <c r="B178" s="70" t="s">
        <v>89</v>
      </c>
      <c r="C178" s="16" t="s">
        <v>12</v>
      </c>
      <c r="D178" s="15">
        <v>671</v>
      </c>
      <c r="E178" s="15"/>
      <c r="F178" s="69">
        <f t="shared" si="42"/>
        <v>671</v>
      </c>
      <c r="G178" s="15"/>
      <c r="H178" s="10">
        <f>MROUND((D178*(1+Sheet1!$C$3)),0.1)-4.5</f>
        <v>685</v>
      </c>
      <c r="I178" s="15"/>
      <c r="J178" s="15">
        <f t="shared" si="43"/>
        <v>685</v>
      </c>
      <c r="K178" s="9">
        <f t="shared" si="44"/>
        <v>14</v>
      </c>
      <c r="L178" s="8">
        <f t="shared" si="45"/>
        <v>2.0864381520119227E-2</v>
      </c>
    </row>
    <row r="179" spans="1:12" s="76" customFormat="1" x14ac:dyDescent="0.25">
      <c r="A179" s="67">
        <f t="shared" si="46"/>
        <v>123</v>
      </c>
      <c r="B179" s="70" t="s">
        <v>90</v>
      </c>
      <c r="C179" s="16" t="s">
        <v>12</v>
      </c>
      <c r="D179" s="15">
        <v>346.5</v>
      </c>
      <c r="E179" s="15"/>
      <c r="F179" s="69">
        <f t="shared" si="42"/>
        <v>346.5</v>
      </c>
      <c r="G179" s="15"/>
      <c r="H179" s="10">
        <f>MROUND((D179*(1+Sheet1!$C$3)),0.1)-1</f>
        <v>355</v>
      </c>
      <c r="I179" s="15"/>
      <c r="J179" s="15">
        <f t="shared" si="43"/>
        <v>355</v>
      </c>
      <c r="K179" s="9">
        <f t="shared" si="44"/>
        <v>8.5</v>
      </c>
      <c r="L179" s="8">
        <f t="shared" si="45"/>
        <v>2.4531024531024532E-2</v>
      </c>
    </row>
    <row r="180" spans="1:12" s="76" customFormat="1" x14ac:dyDescent="0.25">
      <c r="A180" s="67">
        <f t="shared" si="46"/>
        <v>124</v>
      </c>
      <c r="B180" s="70" t="s">
        <v>91</v>
      </c>
      <c r="C180" s="16" t="s">
        <v>12</v>
      </c>
      <c r="D180" s="15">
        <v>193.6</v>
      </c>
      <c r="E180" s="15">
        <f t="shared" ref="E180:E185" si="47">ROUND(D180*0.2,2)</f>
        <v>38.72</v>
      </c>
      <c r="F180" s="69">
        <f t="shared" si="42"/>
        <v>232.32</v>
      </c>
      <c r="G180" s="15"/>
      <c r="H180" s="10">
        <f>MROUND((D180*(1+Sheet1!$C$3)),0.1)-3.07</f>
        <v>195.83</v>
      </c>
      <c r="I180" s="15">
        <f t="shared" ref="I180:I185" si="48">ROUND(H180*0.2,2)</f>
        <v>39.17</v>
      </c>
      <c r="J180" s="15">
        <f t="shared" si="43"/>
        <v>235</v>
      </c>
      <c r="K180" s="9">
        <f t="shared" si="44"/>
        <v>2.6800000000000068</v>
      </c>
      <c r="L180" s="8">
        <f t="shared" si="45"/>
        <v>1.1535812672176338E-2</v>
      </c>
    </row>
    <row r="181" spans="1:12" s="76" customFormat="1" x14ac:dyDescent="0.25">
      <c r="A181" s="67">
        <f t="shared" si="46"/>
        <v>125</v>
      </c>
      <c r="B181" s="70" t="s">
        <v>156</v>
      </c>
      <c r="C181" s="16" t="s">
        <v>12</v>
      </c>
      <c r="D181" s="15">
        <v>238.33</v>
      </c>
      <c r="E181" s="15">
        <f t="shared" si="47"/>
        <v>47.67</v>
      </c>
      <c r="F181" s="69">
        <f t="shared" si="42"/>
        <v>286</v>
      </c>
      <c r="G181" s="15"/>
      <c r="H181" s="10">
        <f>MROUND((D181*(1+Sheet1!$C$3)),0.1)-3.23</f>
        <v>241.67000000000002</v>
      </c>
      <c r="I181" s="15">
        <f t="shared" si="48"/>
        <v>48.33</v>
      </c>
      <c r="J181" s="15">
        <f t="shared" si="43"/>
        <v>290</v>
      </c>
      <c r="K181" s="9">
        <f t="shared" si="44"/>
        <v>4</v>
      </c>
      <c r="L181" s="8">
        <f t="shared" si="45"/>
        <v>1.3986013986013986E-2</v>
      </c>
    </row>
    <row r="182" spans="1:12" s="76" customFormat="1" x14ac:dyDescent="0.25">
      <c r="A182" s="67">
        <f t="shared" si="46"/>
        <v>126</v>
      </c>
      <c r="B182" s="70" t="s">
        <v>93</v>
      </c>
      <c r="C182" s="16" t="s">
        <v>12</v>
      </c>
      <c r="D182" s="15">
        <v>346.5</v>
      </c>
      <c r="E182" s="15">
        <f t="shared" si="47"/>
        <v>69.3</v>
      </c>
      <c r="F182" s="69">
        <f t="shared" si="42"/>
        <v>415.8</v>
      </c>
      <c r="G182" s="15"/>
      <c r="H182" s="10">
        <f>MROUND((D182*(1+Sheet1!$C$3)),0.1)-1.83</f>
        <v>354.17</v>
      </c>
      <c r="I182" s="15">
        <f t="shared" si="48"/>
        <v>70.83</v>
      </c>
      <c r="J182" s="15">
        <f t="shared" si="43"/>
        <v>425</v>
      </c>
      <c r="K182" s="9">
        <f t="shared" si="44"/>
        <v>9.1999999999999886</v>
      </c>
      <c r="L182" s="8">
        <f t="shared" si="45"/>
        <v>2.2126022126022098E-2</v>
      </c>
    </row>
    <row r="183" spans="1:12" s="76" customFormat="1" x14ac:dyDescent="0.25">
      <c r="A183" s="67">
        <f t="shared" si="46"/>
        <v>127</v>
      </c>
      <c r="B183" s="70" t="s">
        <v>157</v>
      </c>
      <c r="C183" s="16" t="s">
        <v>12</v>
      </c>
      <c r="D183" s="15">
        <v>225.5</v>
      </c>
      <c r="E183" s="15">
        <f t="shared" si="47"/>
        <v>45.1</v>
      </c>
      <c r="F183" s="69">
        <f t="shared" si="42"/>
        <v>270.60000000000002</v>
      </c>
      <c r="G183" s="15"/>
      <c r="H183" s="10">
        <f>MROUND((D183*(1+Sheet1!$C$3)),0.1)-2.53</f>
        <v>229.17000000000002</v>
      </c>
      <c r="I183" s="15">
        <f t="shared" si="48"/>
        <v>45.83</v>
      </c>
      <c r="J183" s="15">
        <f t="shared" si="43"/>
        <v>275</v>
      </c>
      <c r="K183" s="9">
        <f t="shared" si="44"/>
        <v>4.3999999999999773</v>
      </c>
      <c r="L183" s="8">
        <f t="shared" si="45"/>
        <v>1.6260162601625931E-2</v>
      </c>
    </row>
    <row r="184" spans="1:12" s="76" customFormat="1" x14ac:dyDescent="0.25">
      <c r="A184" s="67">
        <f t="shared" si="46"/>
        <v>128</v>
      </c>
      <c r="B184" s="70" t="s">
        <v>158</v>
      </c>
      <c r="C184" s="16" t="s">
        <v>12</v>
      </c>
      <c r="D184" s="15">
        <v>1110.08</v>
      </c>
      <c r="E184" s="15">
        <f t="shared" si="47"/>
        <v>222.02</v>
      </c>
      <c r="F184" s="69">
        <f t="shared" si="42"/>
        <v>1332.1</v>
      </c>
      <c r="G184" s="15"/>
      <c r="H184" s="10">
        <f>MROUND((D184*(1+Sheet1!$C$3)),0.1)-3.1</f>
        <v>1137.5000000000002</v>
      </c>
      <c r="I184" s="15">
        <f t="shared" si="48"/>
        <v>227.5</v>
      </c>
      <c r="J184" s="15">
        <f t="shared" si="43"/>
        <v>1365.0000000000002</v>
      </c>
      <c r="K184" s="9">
        <f t="shared" si="44"/>
        <v>32.900000000000318</v>
      </c>
      <c r="L184" s="8">
        <f t="shared" si="45"/>
        <v>2.4697845507094304E-2</v>
      </c>
    </row>
    <row r="185" spans="1:12" s="76" customFormat="1" x14ac:dyDescent="0.25">
      <c r="A185" s="67">
        <f t="shared" si="46"/>
        <v>129</v>
      </c>
      <c r="B185" s="70" t="s">
        <v>159</v>
      </c>
      <c r="C185" s="16" t="s">
        <v>12</v>
      </c>
      <c r="D185" s="15">
        <v>1362.16</v>
      </c>
      <c r="E185" s="15">
        <f t="shared" si="47"/>
        <v>272.43</v>
      </c>
      <c r="F185" s="69">
        <f t="shared" si="42"/>
        <v>1634.5900000000001</v>
      </c>
      <c r="G185" s="15"/>
      <c r="H185" s="10">
        <f>MROUND((D185*(1+Sheet1!$C$3)),0.1)-3.77</f>
        <v>1395.8300000000002</v>
      </c>
      <c r="I185" s="15">
        <f t="shared" si="48"/>
        <v>279.17</v>
      </c>
      <c r="J185" s="15">
        <f t="shared" si="43"/>
        <v>1675.0000000000002</v>
      </c>
      <c r="K185" s="9">
        <f t="shared" si="44"/>
        <v>40.410000000000082</v>
      </c>
      <c r="L185" s="8">
        <f t="shared" si="45"/>
        <v>2.4721795679650601E-2</v>
      </c>
    </row>
    <row r="186" spans="1:12" s="76" customFormat="1" x14ac:dyDescent="0.25">
      <c r="A186" s="67">
        <f t="shared" si="46"/>
        <v>130</v>
      </c>
      <c r="B186" s="70" t="s">
        <v>81</v>
      </c>
      <c r="C186" s="16" t="s">
        <v>12</v>
      </c>
      <c r="D186" s="15">
        <v>946</v>
      </c>
      <c r="E186" s="15"/>
      <c r="F186" s="69">
        <f t="shared" si="42"/>
        <v>946</v>
      </c>
      <c r="G186" s="15"/>
      <c r="H186" s="10">
        <f>MROUND((D186*(1+Sheet1!$C$3)),0.1)-2</f>
        <v>970</v>
      </c>
      <c r="I186" s="15"/>
      <c r="J186" s="15">
        <f t="shared" si="43"/>
        <v>970</v>
      </c>
      <c r="K186" s="9">
        <f t="shared" si="44"/>
        <v>24</v>
      </c>
      <c r="L186" s="8">
        <f t="shared" si="45"/>
        <v>2.5369978858350951E-2</v>
      </c>
    </row>
    <row r="187" spans="1:12" s="76" customFormat="1" x14ac:dyDescent="0.25">
      <c r="A187" s="67">
        <f t="shared" si="46"/>
        <v>131</v>
      </c>
      <c r="B187" s="70" t="s">
        <v>160</v>
      </c>
      <c r="C187" s="16" t="s">
        <v>12</v>
      </c>
      <c r="D187" s="15">
        <v>209.91</v>
      </c>
      <c r="E187" s="15">
        <f>ROUND(D187*0.2,2)</f>
        <v>41.98</v>
      </c>
      <c r="F187" s="69">
        <f t="shared" si="42"/>
        <v>251.89</v>
      </c>
      <c r="G187" s="15"/>
      <c r="H187" s="10">
        <f>MROUND((D187*(1+Sheet1!$C$3)),0.1)-3.2</f>
        <v>212.50000000000003</v>
      </c>
      <c r="I187" s="15">
        <f>ROUND(H187*0.2,2)</f>
        <v>42.5</v>
      </c>
      <c r="J187" s="15">
        <f t="shared" si="43"/>
        <v>255.00000000000003</v>
      </c>
      <c r="K187" s="9">
        <f t="shared" si="44"/>
        <v>3.1100000000000421</v>
      </c>
      <c r="L187" s="8">
        <f t="shared" si="45"/>
        <v>1.2346659256024623E-2</v>
      </c>
    </row>
    <row r="188" spans="1:12" s="76" customFormat="1" x14ac:dyDescent="0.25">
      <c r="A188" s="67"/>
      <c r="B188" s="70"/>
      <c r="C188" s="16"/>
      <c r="D188" s="15"/>
      <c r="E188" s="15"/>
      <c r="F188" s="69"/>
      <c r="G188" s="15"/>
      <c r="H188" s="15"/>
      <c r="I188" s="15"/>
      <c r="J188" s="15"/>
      <c r="K188" s="9"/>
      <c r="L188" s="8"/>
    </row>
    <row r="189" spans="1:12" s="76" customFormat="1" ht="33" x14ac:dyDescent="0.25">
      <c r="A189" s="67"/>
      <c r="B189" s="264" t="s">
        <v>161</v>
      </c>
      <c r="C189" s="16"/>
      <c r="D189" s="15"/>
      <c r="E189" s="15"/>
      <c r="F189" s="69"/>
      <c r="G189" s="15"/>
      <c r="H189" s="15"/>
      <c r="I189" s="15"/>
      <c r="J189" s="15"/>
      <c r="K189" s="9"/>
      <c r="L189" s="8"/>
    </row>
    <row r="190" spans="1:12" s="76" customFormat="1" x14ac:dyDescent="0.25">
      <c r="A190" s="67"/>
      <c r="B190" s="70"/>
      <c r="C190" s="16"/>
      <c r="D190" s="15"/>
      <c r="E190" s="15"/>
      <c r="F190" s="69"/>
      <c r="G190" s="15"/>
      <c r="H190" s="15"/>
      <c r="I190" s="15"/>
      <c r="J190" s="15"/>
      <c r="K190" s="9"/>
      <c r="L190" s="8"/>
    </row>
    <row r="191" spans="1:12" s="76" customFormat="1" ht="31" x14ac:dyDescent="0.25">
      <c r="A191" s="67">
        <f>A187+1</f>
        <v>132</v>
      </c>
      <c r="B191" s="70" t="s">
        <v>162</v>
      </c>
      <c r="C191" s="16" t="s">
        <v>12</v>
      </c>
      <c r="D191" s="15">
        <v>1631.3</v>
      </c>
      <c r="E191" s="15"/>
      <c r="F191" s="69">
        <f t="shared" ref="F191:F196" si="49">D191+E191</f>
        <v>1631.3</v>
      </c>
      <c r="G191" s="15"/>
      <c r="H191" s="10">
        <f>MROUND((D191*(1+Sheet1!$C$3)),0.1)-1.2</f>
        <v>1675</v>
      </c>
      <c r="I191" s="15"/>
      <c r="J191" s="15">
        <f t="shared" ref="J191:J196" si="50">SUM(H191:I191)</f>
        <v>1675</v>
      </c>
      <c r="K191" s="9">
        <f t="shared" ref="K191:K196" si="51">J191-F191</f>
        <v>43.700000000000045</v>
      </c>
      <c r="L191" s="8">
        <f t="shared" ref="L191:L196" si="52">IF(F191="","NEW",K191/F191)</f>
        <v>2.6788450928707196E-2</v>
      </c>
    </row>
    <row r="192" spans="1:12" s="76" customFormat="1" x14ac:dyDescent="0.25">
      <c r="A192" s="67">
        <f t="shared" ref="A192:A234" si="53">A191+1</f>
        <v>133</v>
      </c>
      <c r="B192" s="70" t="s">
        <v>163</v>
      </c>
      <c r="C192" s="16" t="s">
        <v>12</v>
      </c>
      <c r="D192" s="15">
        <v>150.69999999999999</v>
      </c>
      <c r="E192" s="15"/>
      <c r="F192" s="69">
        <f t="shared" si="49"/>
        <v>150.69999999999999</v>
      </c>
      <c r="G192" s="15"/>
      <c r="H192" s="10">
        <f>MROUND((D192*(1+Sheet1!$C$3)),0.1)-4.8</f>
        <v>150</v>
      </c>
      <c r="I192" s="15"/>
      <c r="J192" s="15">
        <f t="shared" si="50"/>
        <v>150</v>
      </c>
      <c r="K192" s="9">
        <f t="shared" si="51"/>
        <v>-0.69999999999998863</v>
      </c>
      <c r="L192" s="8">
        <f t="shared" si="52"/>
        <v>-4.6449900464498256E-3</v>
      </c>
    </row>
    <row r="193" spans="1:12" s="76" customFormat="1" x14ac:dyDescent="0.25">
      <c r="A193" s="67">
        <f t="shared" si="53"/>
        <v>134</v>
      </c>
      <c r="B193" s="70" t="s">
        <v>164</v>
      </c>
      <c r="C193" s="16" t="s">
        <v>12</v>
      </c>
      <c r="D193" s="15">
        <v>145.93</v>
      </c>
      <c r="E193" s="15">
        <f>ROUND(D193*0.2,2)</f>
        <v>29.19</v>
      </c>
      <c r="F193" s="69">
        <f t="shared" si="49"/>
        <v>175.12</v>
      </c>
      <c r="G193" s="15"/>
      <c r="H193" s="10">
        <f>MROUND((D193*(1+Sheet1!$C$3)),0.1)-4.07</f>
        <v>145.83000000000001</v>
      </c>
      <c r="I193" s="15">
        <f>ROUND(H193*0.2,2)</f>
        <v>29.17</v>
      </c>
      <c r="J193" s="15">
        <f t="shared" si="50"/>
        <v>175</v>
      </c>
      <c r="K193" s="9">
        <f t="shared" si="51"/>
        <v>-0.12000000000000455</v>
      </c>
      <c r="L193" s="8">
        <f t="shared" si="52"/>
        <v>-6.8524440383739462E-4</v>
      </c>
    </row>
    <row r="194" spans="1:12" s="76" customFormat="1" x14ac:dyDescent="0.25">
      <c r="A194" s="67">
        <f t="shared" si="53"/>
        <v>135</v>
      </c>
      <c r="B194" s="70" t="s">
        <v>165</v>
      </c>
      <c r="C194" s="16" t="s">
        <v>12</v>
      </c>
      <c r="D194" s="15">
        <v>125.4</v>
      </c>
      <c r="E194" s="15">
        <f>ROUND(D194*0.2,2)</f>
        <v>25.08</v>
      </c>
      <c r="F194" s="69">
        <f t="shared" si="49"/>
        <v>150.48000000000002</v>
      </c>
      <c r="G194" s="15"/>
      <c r="H194" s="10">
        <f>MROUND((D194*(1+Sheet1!$C$3)),0.1)-3.8</f>
        <v>125.00000000000001</v>
      </c>
      <c r="I194" s="15">
        <f>ROUND(H194*0.2,2)</f>
        <v>25</v>
      </c>
      <c r="J194" s="15">
        <f t="shared" si="50"/>
        <v>150</v>
      </c>
      <c r="K194" s="9">
        <f t="shared" si="51"/>
        <v>-0.48000000000001819</v>
      </c>
      <c r="L194" s="8">
        <f t="shared" si="52"/>
        <v>-3.1897926634769946E-3</v>
      </c>
    </row>
    <row r="195" spans="1:12" s="76" customFormat="1" x14ac:dyDescent="0.25">
      <c r="A195" s="67">
        <f t="shared" si="53"/>
        <v>136</v>
      </c>
      <c r="B195" s="70" t="s">
        <v>46</v>
      </c>
      <c r="C195" s="16" t="s">
        <v>12</v>
      </c>
      <c r="D195" s="15">
        <v>78.099999999999994</v>
      </c>
      <c r="E195" s="15">
        <f>ROUND(D195*0.2,2)</f>
        <v>15.62</v>
      </c>
      <c r="F195" s="69">
        <f t="shared" si="49"/>
        <v>93.72</v>
      </c>
      <c r="G195" s="15"/>
      <c r="H195" s="10">
        <f>MROUND((D195*(1+Sheet1!$C$3)),0.1)-1.03</f>
        <v>79.17</v>
      </c>
      <c r="I195" s="15">
        <f>ROUND(H195*0.2,2)</f>
        <v>15.83</v>
      </c>
      <c r="J195" s="15">
        <f t="shared" si="50"/>
        <v>95</v>
      </c>
      <c r="K195" s="9">
        <f t="shared" si="51"/>
        <v>1.2800000000000011</v>
      </c>
      <c r="L195" s="8">
        <f t="shared" si="52"/>
        <v>1.3657703798548882E-2</v>
      </c>
    </row>
    <row r="196" spans="1:12" s="76" customFormat="1" x14ac:dyDescent="0.25">
      <c r="A196" s="67">
        <f t="shared" si="53"/>
        <v>137</v>
      </c>
      <c r="B196" s="70" t="s">
        <v>47</v>
      </c>
      <c r="C196" s="16" t="s">
        <v>12</v>
      </c>
      <c r="D196" s="15">
        <v>105.6</v>
      </c>
      <c r="E196" s="15">
        <f>ROUND(D196*0.2,2)</f>
        <v>21.12</v>
      </c>
      <c r="F196" s="69">
        <f t="shared" si="49"/>
        <v>126.72</v>
      </c>
      <c r="G196" s="15"/>
      <c r="H196" s="10">
        <f>MROUND((D196*(1+Sheet1!$C$3)),0.1)-0.17</f>
        <v>108.33</v>
      </c>
      <c r="I196" s="15">
        <f>ROUND(H196*0.2,2)</f>
        <v>21.67</v>
      </c>
      <c r="J196" s="15">
        <f t="shared" si="50"/>
        <v>130</v>
      </c>
      <c r="K196" s="9">
        <f t="shared" si="51"/>
        <v>3.2800000000000011</v>
      </c>
      <c r="L196" s="8">
        <f t="shared" si="52"/>
        <v>2.5883838383838394E-2</v>
      </c>
    </row>
    <row r="197" spans="1:12" s="76" customFormat="1" x14ac:dyDescent="0.25">
      <c r="A197" s="67">
        <f t="shared" si="53"/>
        <v>138</v>
      </c>
      <c r="B197" s="70" t="s">
        <v>48</v>
      </c>
      <c r="C197" s="16" t="s">
        <v>12</v>
      </c>
      <c r="D197" s="523" t="s">
        <v>49</v>
      </c>
      <c r="E197" s="524"/>
      <c r="F197" s="525"/>
      <c r="G197" s="15"/>
      <c r="H197" s="523" t="s">
        <v>49</v>
      </c>
      <c r="I197" s="524"/>
      <c r="J197" s="525"/>
      <c r="K197" s="9"/>
      <c r="L197" s="8"/>
    </row>
    <row r="198" spans="1:12" s="76" customFormat="1" x14ac:dyDescent="0.25">
      <c r="A198" s="67">
        <f t="shared" si="53"/>
        <v>139</v>
      </c>
      <c r="B198" s="70" t="s">
        <v>166</v>
      </c>
      <c r="C198" s="16" t="s">
        <v>12</v>
      </c>
      <c r="D198" s="15">
        <v>484</v>
      </c>
      <c r="E198" s="15">
        <f>ROUND(D198*0.2,2)</f>
        <v>96.8</v>
      </c>
      <c r="F198" s="69">
        <f>D198+E198</f>
        <v>580.79999999999995</v>
      </c>
      <c r="G198" s="15"/>
      <c r="H198" s="10">
        <f>MROUND((D198*(1+Sheet1!$C$3)),0.1)-1.47</f>
        <v>495.83</v>
      </c>
      <c r="I198" s="15">
        <f>ROUND(H198*0.2,2)</f>
        <v>99.17</v>
      </c>
      <c r="J198" s="15">
        <f>SUM(H198:I198)</f>
        <v>595</v>
      </c>
      <c r="K198" s="9">
        <f>J198-F198</f>
        <v>14.200000000000045</v>
      </c>
      <c r="L198" s="8">
        <f>IF(F198="","NEW",K198/F198)</f>
        <v>2.4449035812672257E-2</v>
      </c>
    </row>
    <row r="199" spans="1:12" s="76" customFormat="1" x14ac:dyDescent="0.25">
      <c r="A199" s="67">
        <f t="shared" si="53"/>
        <v>140</v>
      </c>
      <c r="B199" s="70" t="s">
        <v>164</v>
      </c>
      <c r="C199" s="16" t="s">
        <v>12</v>
      </c>
      <c r="D199" s="15">
        <v>145.93</v>
      </c>
      <c r="E199" s="15">
        <f>ROUND(D199*0.2,2)</f>
        <v>29.19</v>
      </c>
      <c r="F199" s="69">
        <f>D199+E199</f>
        <v>175.12</v>
      </c>
      <c r="G199" s="15"/>
      <c r="H199" s="10">
        <f>MROUND((D199*(1+Sheet1!$C$3)),0.1)-4.07</f>
        <v>145.83000000000001</v>
      </c>
      <c r="I199" s="15">
        <f>ROUND(H199*0.2,2)</f>
        <v>29.17</v>
      </c>
      <c r="J199" s="15">
        <f>SUM(H199:I199)</f>
        <v>175</v>
      </c>
      <c r="K199" s="9">
        <f>J199-F199</f>
        <v>-0.12000000000000455</v>
      </c>
      <c r="L199" s="8">
        <f>IF(F199="","NEW",K199/F199)</f>
        <v>-6.8524440383739462E-4</v>
      </c>
    </row>
    <row r="200" spans="1:12" s="76" customFormat="1" x14ac:dyDescent="0.25">
      <c r="A200" s="67">
        <f t="shared" si="53"/>
        <v>141</v>
      </c>
      <c r="B200" s="70" t="s">
        <v>167</v>
      </c>
      <c r="C200" s="16" t="s">
        <v>12</v>
      </c>
      <c r="D200" s="15">
        <v>125.4</v>
      </c>
      <c r="E200" s="15">
        <f>ROUND(D200*0.2,2)</f>
        <v>25.08</v>
      </c>
      <c r="F200" s="69">
        <f>D200+E200</f>
        <v>150.48000000000002</v>
      </c>
      <c r="G200" s="15"/>
      <c r="H200" s="10">
        <f>MROUND((D200*(1+Sheet1!$C$3)),0.1)-3.8</f>
        <v>125.00000000000001</v>
      </c>
      <c r="I200" s="15">
        <f>ROUND(H200*0.2,2)</f>
        <v>25</v>
      </c>
      <c r="J200" s="15">
        <f>SUM(H200:I200)</f>
        <v>150</v>
      </c>
      <c r="K200" s="9">
        <f>J200-F200</f>
        <v>-0.48000000000001819</v>
      </c>
      <c r="L200" s="8">
        <f>IF(F200="","NEW",K200/F200)</f>
        <v>-3.1897926634769946E-3</v>
      </c>
    </row>
    <row r="201" spans="1:12" s="76" customFormat="1" x14ac:dyDescent="0.25">
      <c r="A201" s="67">
        <f t="shared" si="53"/>
        <v>142</v>
      </c>
      <c r="B201" s="70" t="s">
        <v>46</v>
      </c>
      <c r="C201" s="16" t="s">
        <v>12</v>
      </c>
      <c r="D201" s="15">
        <v>78.099999999999994</v>
      </c>
      <c r="E201" s="15">
        <f>ROUND(D201*0.2,2)</f>
        <v>15.62</v>
      </c>
      <c r="F201" s="69">
        <f>D201+E201</f>
        <v>93.72</v>
      </c>
      <c r="G201" s="15"/>
      <c r="H201" s="10">
        <f>MROUND((D201*(1+Sheet1!$C$3)),0.1)-1.03</f>
        <v>79.17</v>
      </c>
      <c r="I201" s="15">
        <f>ROUND(H201*0.2,2)</f>
        <v>15.83</v>
      </c>
      <c r="J201" s="15">
        <f>SUM(H201:I201)</f>
        <v>95</v>
      </c>
      <c r="K201" s="9">
        <f>J201-F201</f>
        <v>1.2800000000000011</v>
      </c>
      <c r="L201" s="8">
        <f>IF(F201="","NEW",K201/F201)</f>
        <v>1.3657703798548882E-2</v>
      </c>
    </row>
    <row r="202" spans="1:12" s="76" customFormat="1" x14ac:dyDescent="0.25">
      <c r="A202" s="67">
        <f t="shared" si="53"/>
        <v>143</v>
      </c>
      <c r="B202" s="70" t="s">
        <v>47</v>
      </c>
      <c r="C202" s="16" t="s">
        <v>12</v>
      </c>
      <c r="D202" s="15">
        <v>105.6</v>
      </c>
      <c r="E202" s="15">
        <f>ROUND(D202*0.2,2)</f>
        <v>21.12</v>
      </c>
      <c r="F202" s="69">
        <f>D202+E202</f>
        <v>126.72</v>
      </c>
      <c r="G202" s="15"/>
      <c r="H202" s="10">
        <f>MROUND((D202*(1+Sheet1!$C$3)),0.1)-0.17</f>
        <v>108.33</v>
      </c>
      <c r="I202" s="15">
        <f>ROUND(H202*0.2,2)</f>
        <v>21.67</v>
      </c>
      <c r="J202" s="15">
        <f>SUM(H202:I202)</f>
        <v>130</v>
      </c>
      <c r="K202" s="9">
        <f>J202-F202</f>
        <v>3.2800000000000011</v>
      </c>
      <c r="L202" s="8">
        <f>IF(F202="","NEW",K202/F202)</f>
        <v>2.5883838383838394E-2</v>
      </c>
    </row>
    <row r="203" spans="1:12" s="76" customFormat="1" x14ac:dyDescent="0.25">
      <c r="A203" s="67">
        <f t="shared" si="53"/>
        <v>144</v>
      </c>
      <c r="B203" s="70" t="s">
        <v>48</v>
      </c>
      <c r="C203" s="16" t="s">
        <v>12</v>
      </c>
      <c r="D203" s="523" t="s">
        <v>49</v>
      </c>
      <c r="E203" s="524"/>
      <c r="F203" s="525"/>
      <c r="G203" s="15"/>
      <c r="H203" s="523" t="s">
        <v>49</v>
      </c>
      <c r="I203" s="524"/>
      <c r="J203" s="525"/>
      <c r="K203" s="9"/>
      <c r="L203" s="8"/>
    </row>
    <row r="204" spans="1:12" s="76" customFormat="1" x14ac:dyDescent="0.25">
      <c r="A204" s="67">
        <f t="shared" si="53"/>
        <v>145</v>
      </c>
      <c r="B204" s="70" t="s">
        <v>139</v>
      </c>
      <c r="C204" s="16" t="s">
        <v>12</v>
      </c>
      <c r="D204" s="15">
        <v>125.4</v>
      </c>
      <c r="E204" s="15"/>
      <c r="F204" s="69">
        <f t="shared" ref="F204:F209" si="54">D204+E204</f>
        <v>125.4</v>
      </c>
      <c r="G204" s="15"/>
      <c r="H204" s="10">
        <f>MROUND((D204*(1+Sheet1!$C$3)),0.1)-3.8</f>
        <v>125.00000000000001</v>
      </c>
      <c r="I204" s="15"/>
      <c r="J204" s="15">
        <f t="shared" ref="J204:J209" si="55">SUM(H204:I204)</f>
        <v>125.00000000000001</v>
      </c>
      <c r="K204" s="9">
        <f t="shared" ref="K204:K209" si="56">J204-F204</f>
        <v>-0.39999999999999147</v>
      </c>
      <c r="L204" s="8">
        <f t="shared" ref="L204:L209" si="57">IF(F204="","NEW",K204/F204)</f>
        <v>-3.1897926634768059E-3</v>
      </c>
    </row>
    <row r="205" spans="1:12" s="76" customFormat="1" x14ac:dyDescent="0.25">
      <c r="A205" s="67">
        <f t="shared" si="53"/>
        <v>146</v>
      </c>
      <c r="B205" s="70" t="s">
        <v>168</v>
      </c>
      <c r="C205" s="16" t="s">
        <v>12</v>
      </c>
      <c r="D205" s="15">
        <v>63.8</v>
      </c>
      <c r="E205" s="15">
        <f>ROUND(D205*0.2,2)</f>
        <v>12.76</v>
      </c>
      <c r="F205" s="69">
        <f t="shared" si="54"/>
        <v>76.56</v>
      </c>
      <c r="G205" s="15"/>
      <c r="H205" s="10">
        <f>MROUND((D205*(1+Sheet1!$C$3)),0.1)-3.1</f>
        <v>62.500000000000007</v>
      </c>
      <c r="I205" s="15">
        <f>ROUND(H205*0.2,2)</f>
        <v>12.5</v>
      </c>
      <c r="J205" s="15">
        <f t="shared" si="55"/>
        <v>75</v>
      </c>
      <c r="K205" s="9">
        <f t="shared" si="56"/>
        <v>-1.5600000000000023</v>
      </c>
      <c r="L205" s="8">
        <f t="shared" si="57"/>
        <v>-2.0376175548589372E-2</v>
      </c>
    </row>
    <row r="206" spans="1:12" s="76" customFormat="1" x14ac:dyDescent="0.25">
      <c r="A206" s="67">
        <f t="shared" si="53"/>
        <v>147</v>
      </c>
      <c r="B206" s="70" t="s">
        <v>164</v>
      </c>
      <c r="C206" s="16" t="s">
        <v>12</v>
      </c>
      <c r="D206" s="15">
        <v>145.93</v>
      </c>
      <c r="E206" s="15">
        <f>ROUND(D206*0.2,2)</f>
        <v>29.19</v>
      </c>
      <c r="F206" s="69">
        <f t="shared" si="54"/>
        <v>175.12</v>
      </c>
      <c r="G206" s="15"/>
      <c r="H206" s="10">
        <f>MROUND((D206*(1+Sheet1!$C$3)),0.1)-4.07</f>
        <v>145.83000000000001</v>
      </c>
      <c r="I206" s="15">
        <f>ROUND(H206*0.2,2)</f>
        <v>29.17</v>
      </c>
      <c r="J206" s="15">
        <f t="shared" si="55"/>
        <v>175</v>
      </c>
      <c r="K206" s="9">
        <f t="shared" si="56"/>
        <v>-0.12000000000000455</v>
      </c>
      <c r="L206" s="8">
        <f t="shared" si="57"/>
        <v>-6.8524440383739462E-4</v>
      </c>
    </row>
    <row r="207" spans="1:12" s="76" customFormat="1" x14ac:dyDescent="0.25">
      <c r="A207" s="67">
        <f t="shared" si="53"/>
        <v>148</v>
      </c>
      <c r="B207" s="70" t="s">
        <v>167</v>
      </c>
      <c r="C207" s="16" t="s">
        <v>12</v>
      </c>
      <c r="D207" s="15">
        <v>125.4</v>
      </c>
      <c r="E207" s="15">
        <f>ROUND(D207*0.2,2)</f>
        <v>25.08</v>
      </c>
      <c r="F207" s="69">
        <f t="shared" si="54"/>
        <v>150.48000000000002</v>
      </c>
      <c r="G207" s="15"/>
      <c r="H207" s="10">
        <f>MROUND((D207*(1+Sheet1!$C$3)),0.1)-3.8</f>
        <v>125.00000000000001</v>
      </c>
      <c r="I207" s="15">
        <f>ROUND(H207*0.2,2)</f>
        <v>25</v>
      </c>
      <c r="J207" s="15">
        <f t="shared" si="55"/>
        <v>150</v>
      </c>
      <c r="K207" s="9">
        <f t="shared" si="56"/>
        <v>-0.48000000000001819</v>
      </c>
      <c r="L207" s="8">
        <f t="shared" si="57"/>
        <v>-3.1897926634769946E-3</v>
      </c>
    </row>
    <row r="208" spans="1:12" s="76" customFormat="1" x14ac:dyDescent="0.25">
      <c r="A208" s="67">
        <f t="shared" si="53"/>
        <v>149</v>
      </c>
      <c r="B208" s="70" t="s">
        <v>46</v>
      </c>
      <c r="C208" s="16" t="s">
        <v>12</v>
      </c>
      <c r="D208" s="15">
        <v>78.099999999999994</v>
      </c>
      <c r="E208" s="15">
        <f>ROUND(D208*0.2,2)</f>
        <v>15.62</v>
      </c>
      <c r="F208" s="69">
        <f t="shared" si="54"/>
        <v>93.72</v>
      </c>
      <c r="G208" s="15"/>
      <c r="H208" s="10">
        <f>MROUND((D208*(1+Sheet1!$C$3)),0.1)-1.03</f>
        <v>79.17</v>
      </c>
      <c r="I208" s="15">
        <f>ROUND(H208*0.2,2)</f>
        <v>15.83</v>
      </c>
      <c r="J208" s="15">
        <f t="shared" si="55"/>
        <v>95</v>
      </c>
      <c r="K208" s="9">
        <f t="shared" si="56"/>
        <v>1.2800000000000011</v>
      </c>
      <c r="L208" s="8">
        <f t="shared" si="57"/>
        <v>1.3657703798548882E-2</v>
      </c>
    </row>
    <row r="209" spans="1:12" s="76" customFormat="1" x14ac:dyDescent="0.25">
      <c r="A209" s="67">
        <f t="shared" si="53"/>
        <v>150</v>
      </c>
      <c r="B209" s="70" t="s">
        <v>47</v>
      </c>
      <c r="C209" s="16" t="s">
        <v>12</v>
      </c>
      <c r="D209" s="15">
        <v>105.6</v>
      </c>
      <c r="E209" s="15">
        <f>ROUND(D209*0.2,2)</f>
        <v>21.12</v>
      </c>
      <c r="F209" s="69">
        <f t="shared" si="54"/>
        <v>126.72</v>
      </c>
      <c r="G209" s="15"/>
      <c r="H209" s="10">
        <f>MROUND((D209*(1+Sheet1!$C$3)),0.1)-0.17</f>
        <v>108.33</v>
      </c>
      <c r="I209" s="15">
        <f>ROUND(H209*0.2,2)</f>
        <v>21.67</v>
      </c>
      <c r="J209" s="15">
        <f t="shared" si="55"/>
        <v>130</v>
      </c>
      <c r="K209" s="9">
        <f t="shared" si="56"/>
        <v>3.2800000000000011</v>
      </c>
      <c r="L209" s="8">
        <f t="shared" si="57"/>
        <v>2.5883838383838394E-2</v>
      </c>
    </row>
    <row r="210" spans="1:12" s="76" customFormat="1" x14ac:dyDescent="0.25">
      <c r="A210" s="67">
        <f t="shared" si="53"/>
        <v>151</v>
      </c>
      <c r="B210" s="70" t="s">
        <v>48</v>
      </c>
      <c r="C210" s="16" t="s">
        <v>12</v>
      </c>
      <c r="D210" s="523" t="s">
        <v>49</v>
      </c>
      <c r="E210" s="524"/>
      <c r="F210" s="525"/>
      <c r="G210" s="15"/>
      <c r="H210" s="523" t="s">
        <v>49</v>
      </c>
      <c r="I210" s="524"/>
      <c r="J210" s="525"/>
      <c r="K210" s="9"/>
      <c r="L210" s="8"/>
    </row>
    <row r="211" spans="1:12" s="76" customFormat="1" x14ac:dyDescent="0.25">
      <c r="A211" s="67">
        <f t="shared" si="53"/>
        <v>152</v>
      </c>
      <c r="B211" s="70" t="s">
        <v>169</v>
      </c>
      <c r="C211" s="16" t="s">
        <v>12</v>
      </c>
      <c r="D211" s="15">
        <v>125.4</v>
      </c>
      <c r="E211" s="15"/>
      <c r="F211" s="69">
        <f t="shared" ref="F211:F216" si="58">D211+E211</f>
        <v>125.4</v>
      </c>
      <c r="G211" s="15"/>
      <c r="H211" s="10">
        <f>MROUND((D211*(1+Sheet1!$C$3)),0.1)-3.8</f>
        <v>125.00000000000001</v>
      </c>
      <c r="I211" s="15"/>
      <c r="J211" s="15">
        <f t="shared" ref="J211:J216" si="59">SUM(H211:I211)</f>
        <v>125.00000000000001</v>
      </c>
      <c r="K211" s="9">
        <f t="shared" ref="K211:K216" si="60">J211-F211</f>
        <v>-0.39999999999999147</v>
      </c>
      <c r="L211" s="8">
        <f t="shared" ref="L211:L216" si="61">IF(F211="","NEW",K211/F211)</f>
        <v>-3.1897926634768059E-3</v>
      </c>
    </row>
    <row r="212" spans="1:12" s="76" customFormat="1" x14ac:dyDescent="0.25">
      <c r="A212" s="67">
        <f t="shared" si="53"/>
        <v>153</v>
      </c>
      <c r="B212" s="70" t="s">
        <v>170</v>
      </c>
      <c r="C212" s="16" t="s">
        <v>12</v>
      </c>
      <c r="D212" s="15">
        <v>115.5</v>
      </c>
      <c r="E212" s="15">
        <f>ROUND(D212*0.2,2)</f>
        <v>23.1</v>
      </c>
      <c r="F212" s="69">
        <f t="shared" si="58"/>
        <v>138.6</v>
      </c>
      <c r="G212" s="15"/>
      <c r="H212" s="10">
        <f>MROUND((D212*(1+Sheet1!$C$3)),0.1)-2.03</f>
        <v>116.67</v>
      </c>
      <c r="I212" s="15">
        <f>ROUND(H212*0.2,2)</f>
        <v>23.33</v>
      </c>
      <c r="J212" s="15">
        <f t="shared" si="59"/>
        <v>140</v>
      </c>
      <c r="K212" s="9">
        <f t="shared" si="60"/>
        <v>1.4000000000000057</v>
      </c>
      <c r="L212" s="8">
        <f t="shared" si="61"/>
        <v>1.0101010101010142E-2</v>
      </c>
    </row>
    <row r="213" spans="1:12" s="76" customFormat="1" x14ac:dyDescent="0.25">
      <c r="A213" s="67">
        <f t="shared" si="53"/>
        <v>154</v>
      </c>
      <c r="B213" s="70" t="s">
        <v>164</v>
      </c>
      <c r="C213" s="16" t="s">
        <v>12</v>
      </c>
      <c r="D213" s="15">
        <v>145.93</v>
      </c>
      <c r="E213" s="15">
        <f>ROUND(D213*0.2,2)</f>
        <v>29.19</v>
      </c>
      <c r="F213" s="69">
        <f t="shared" si="58"/>
        <v>175.12</v>
      </c>
      <c r="G213" s="15"/>
      <c r="H213" s="10">
        <f>MROUND((D213*(1+Sheet1!$C$3)),0.1)-4.07</f>
        <v>145.83000000000001</v>
      </c>
      <c r="I213" s="15">
        <f>ROUND(H213*0.2,2)</f>
        <v>29.17</v>
      </c>
      <c r="J213" s="15">
        <f t="shared" si="59"/>
        <v>175</v>
      </c>
      <c r="K213" s="9">
        <f t="shared" si="60"/>
        <v>-0.12000000000000455</v>
      </c>
      <c r="L213" s="8">
        <f t="shared" si="61"/>
        <v>-6.8524440383739462E-4</v>
      </c>
    </row>
    <row r="214" spans="1:12" s="76" customFormat="1" x14ac:dyDescent="0.25">
      <c r="A214" s="67">
        <f t="shared" si="53"/>
        <v>155</v>
      </c>
      <c r="B214" s="70" t="s">
        <v>167</v>
      </c>
      <c r="C214" s="16" t="s">
        <v>12</v>
      </c>
      <c r="D214" s="15">
        <v>125.4</v>
      </c>
      <c r="E214" s="15">
        <f>ROUND(D214*0.2,2)</f>
        <v>25.08</v>
      </c>
      <c r="F214" s="69">
        <f t="shared" si="58"/>
        <v>150.48000000000002</v>
      </c>
      <c r="G214" s="15"/>
      <c r="H214" s="10">
        <f>MROUND((D214*(1+Sheet1!$C$3)),0.1)-3.8</f>
        <v>125.00000000000001</v>
      </c>
      <c r="I214" s="15">
        <f>ROUND(H214*0.2,2)</f>
        <v>25</v>
      </c>
      <c r="J214" s="15">
        <f t="shared" si="59"/>
        <v>150</v>
      </c>
      <c r="K214" s="9">
        <f t="shared" si="60"/>
        <v>-0.48000000000001819</v>
      </c>
      <c r="L214" s="8">
        <f t="shared" si="61"/>
        <v>-3.1897926634769946E-3</v>
      </c>
    </row>
    <row r="215" spans="1:12" s="76" customFormat="1" x14ac:dyDescent="0.25">
      <c r="A215" s="67">
        <f t="shared" si="53"/>
        <v>156</v>
      </c>
      <c r="B215" s="70" t="s">
        <v>46</v>
      </c>
      <c r="C215" s="16" t="s">
        <v>12</v>
      </c>
      <c r="D215" s="15">
        <v>78.099999999999994</v>
      </c>
      <c r="E215" s="15">
        <f>ROUND(D215*0.2,2)</f>
        <v>15.62</v>
      </c>
      <c r="F215" s="69">
        <f t="shared" si="58"/>
        <v>93.72</v>
      </c>
      <c r="G215" s="15"/>
      <c r="H215" s="10">
        <f>MROUND((D215*(1+Sheet1!$C$3)),0.1)-1.03</f>
        <v>79.17</v>
      </c>
      <c r="I215" s="15">
        <f>ROUND(H215*0.2,2)</f>
        <v>15.83</v>
      </c>
      <c r="J215" s="15">
        <f t="shared" si="59"/>
        <v>95</v>
      </c>
      <c r="K215" s="9">
        <f t="shared" si="60"/>
        <v>1.2800000000000011</v>
      </c>
      <c r="L215" s="8">
        <f t="shared" si="61"/>
        <v>1.3657703798548882E-2</v>
      </c>
    </row>
    <row r="216" spans="1:12" s="76" customFormat="1" x14ac:dyDescent="0.25">
      <c r="A216" s="67">
        <f t="shared" si="53"/>
        <v>157</v>
      </c>
      <c r="B216" s="70" t="s">
        <v>47</v>
      </c>
      <c r="C216" s="16" t="s">
        <v>12</v>
      </c>
      <c r="D216" s="15">
        <v>105.6</v>
      </c>
      <c r="E216" s="15">
        <f>ROUND(D216*0.2,2)</f>
        <v>21.12</v>
      </c>
      <c r="F216" s="69">
        <f t="shared" si="58"/>
        <v>126.72</v>
      </c>
      <c r="G216" s="15"/>
      <c r="H216" s="10">
        <f>MROUND((D216*(1+Sheet1!$C$3)),0.1)-0.17</f>
        <v>108.33</v>
      </c>
      <c r="I216" s="15">
        <f>ROUND(H216*0.2,2)</f>
        <v>21.67</v>
      </c>
      <c r="J216" s="15">
        <f t="shared" si="59"/>
        <v>130</v>
      </c>
      <c r="K216" s="9">
        <f t="shared" si="60"/>
        <v>3.2800000000000011</v>
      </c>
      <c r="L216" s="8">
        <f t="shared" si="61"/>
        <v>2.5883838383838394E-2</v>
      </c>
    </row>
    <row r="217" spans="1:12" s="76" customFormat="1" x14ac:dyDescent="0.25">
      <c r="A217" s="67">
        <f t="shared" si="53"/>
        <v>158</v>
      </c>
      <c r="B217" s="70" t="s">
        <v>48</v>
      </c>
      <c r="C217" s="16" t="s">
        <v>12</v>
      </c>
      <c r="D217" s="523" t="s">
        <v>49</v>
      </c>
      <c r="E217" s="524"/>
      <c r="F217" s="525"/>
      <c r="G217" s="15"/>
      <c r="H217" s="523" t="s">
        <v>49</v>
      </c>
      <c r="I217" s="524"/>
      <c r="J217" s="525"/>
      <c r="K217" s="9"/>
      <c r="L217" s="8"/>
    </row>
    <row r="218" spans="1:12" s="76" customFormat="1" x14ac:dyDescent="0.25">
      <c r="A218" s="67">
        <f t="shared" si="53"/>
        <v>159</v>
      </c>
      <c r="B218" s="70" t="s">
        <v>171</v>
      </c>
      <c r="C218" s="16" t="s">
        <v>12</v>
      </c>
      <c r="D218" s="15">
        <v>115.5</v>
      </c>
      <c r="E218" s="15">
        <f>ROUND(D218*0.2,2)</f>
        <v>23.1</v>
      </c>
      <c r="F218" s="69">
        <f>D218+E218</f>
        <v>138.6</v>
      </c>
      <c r="G218" s="15"/>
      <c r="H218" s="10">
        <f>MROUND((D218*(1+Sheet1!$C$3)),0.1)-2.03</f>
        <v>116.67</v>
      </c>
      <c r="I218" s="15">
        <f>ROUND(H218*0.2,2)</f>
        <v>23.33</v>
      </c>
      <c r="J218" s="15">
        <f>SUM(H218:I218)</f>
        <v>140</v>
      </c>
      <c r="K218" s="9">
        <f>J218-F218</f>
        <v>1.4000000000000057</v>
      </c>
      <c r="L218" s="8">
        <f>IF(F218="","NEW",K218/F218)</f>
        <v>1.0101010101010142E-2</v>
      </c>
    </row>
    <row r="219" spans="1:12" s="76" customFormat="1" x14ac:dyDescent="0.25">
      <c r="A219" s="67">
        <f t="shared" si="53"/>
        <v>160</v>
      </c>
      <c r="B219" s="70" t="s">
        <v>164</v>
      </c>
      <c r="C219" s="16" t="s">
        <v>12</v>
      </c>
      <c r="D219" s="15">
        <v>145.93</v>
      </c>
      <c r="E219" s="15">
        <f>ROUND(D219*0.2,2)</f>
        <v>29.19</v>
      </c>
      <c r="F219" s="69">
        <f>D219+E219</f>
        <v>175.12</v>
      </c>
      <c r="G219" s="15"/>
      <c r="H219" s="10">
        <f>MROUND((D219*(1+Sheet1!$C$3)),0.1)-4.07</f>
        <v>145.83000000000001</v>
      </c>
      <c r="I219" s="15">
        <f>ROUND(H219*0.2,2)</f>
        <v>29.17</v>
      </c>
      <c r="J219" s="15">
        <f>SUM(H219:I219)</f>
        <v>175</v>
      </c>
      <c r="K219" s="9">
        <f>J219-F219</f>
        <v>-0.12000000000000455</v>
      </c>
      <c r="L219" s="8">
        <f>IF(F219="","NEW",K219/F219)</f>
        <v>-6.8524440383739462E-4</v>
      </c>
    </row>
    <row r="220" spans="1:12" s="76" customFormat="1" x14ac:dyDescent="0.25">
      <c r="A220" s="67">
        <f t="shared" si="53"/>
        <v>161</v>
      </c>
      <c r="B220" s="70" t="s">
        <v>167</v>
      </c>
      <c r="C220" s="16" t="s">
        <v>12</v>
      </c>
      <c r="D220" s="15">
        <v>125.4</v>
      </c>
      <c r="E220" s="15">
        <f>ROUND(D220*0.2,2)</f>
        <v>25.08</v>
      </c>
      <c r="F220" s="69">
        <f>D220+E220</f>
        <v>150.48000000000002</v>
      </c>
      <c r="G220" s="15"/>
      <c r="H220" s="10">
        <f>MROUND((D220*(1+Sheet1!$C$3)),0.1)-3.8</f>
        <v>125.00000000000001</v>
      </c>
      <c r="I220" s="15">
        <f>ROUND(H220*0.2,2)</f>
        <v>25</v>
      </c>
      <c r="J220" s="15">
        <f>SUM(H220:I220)</f>
        <v>150</v>
      </c>
      <c r="K220" s="9">
        <f>J220-F220</f>
        <v>-0.48000000000001819</v>
      </c>
      <c r="L220" s="8">
        <f>IF(F220="","NEW",K220/F220)</f>
        <v>-3.1897926634769946E-3</v>
      </c>
    </row>
    <row r="221" spans="1:12" s="76" customFormat="1" x14ac:dyDescent="0.25">
      <c r="A221" s="67">
        <f t="shared" si="53"/>
        <v>162</v>
      </c>
      <c r="B221" s="70" t="s">
        <v>46</v>
      </c>
      <c r="C221" s="16" t="s">
        <v>12</v>
      </c>
      <c r="D221" s="15">
        <v>78.099999999999994</v>
      </c>
      <c r="E221" s="15">
        <f>ROUND(D221*0.2,2)</f>
        <v>15.62</v>
      </c>
      <c r="F221" s="69">
        <f>D221+E221</f>
        <v>93.72</v>
      </c>
      <c r="G221" s="15"/>
      <c r="H221" s="10">
        <f>MROUND((D221*(1+Sheet1!$C$3)),0.1)-1.03</f>
        <v>79.17</v>
      </c>
      <c r="I221" s="15">
        <f>ROUND(H221*0.2,2)</f>
        <v>15.83</v>
      </c>
      <c r="J221" s="15">
        <f>SUM(H221:I221)</f>
        <v>95</v>
      </c>
      <c r="K221" s="9">
        <f>J221-F221</f>
        <v>1.2800000000000011</v>
      </c>
      <c r="L221" s="8">
        <f>IF(F221="","NEW",K221/F221)</f>
        <v>1.3657703798548882E-2</v>
      </c>
    </row>
    <row r="222" spans="1:12" s="76" customFormat="1" x14ac:dyDescent="0.25">
      <c r="A222" s="67">
        <f t="shared" si="53"/>
        <v>163</v>
      </c>
      <c r="B222" s="70" t="s">
        <v>47</v>
      </c>
      <c r="C222" s="16" t="s">
        <v>12</v>
      </c>
      <c r="D222" s="15">
        <v>105.6</v>
      </c>
      <c r="E222" s="15">
        <f>ROUND(D222*0.2,2)</f>
        <v>21.12</v>
      </c>
      <c r="F222" s="69">
        <f>D222+E222</f>
        <v>126.72</v>
      </c>
      <c r="G222" s="15"/>
      <c r="H222" s="10">
        <f>MROUND((D222*(1+Sheet1!$C$3)),0.1)-0.17</f>
        <v>108.33</v>
      </c>
      <c r="I222" s="15">
        <f>ROUND(H222*0.2,2)</f>
        <v>21.67</v>
      </c>
      <c r="J222" s="15">
        <f>SUM(H222:I222)</f>
        <v>130</v>
      </c>
      <c r="K222" s="9">
        <f>J222-F222</f>
        <v>3.2800000000000011</v>
      </c>
      <c r="L222" s="8">
        <f>IF(F222="","NEW",K222/F222)</f>
        <v>2.5883838383838394E-2</v>
      </c>
    </row>
    <row r="223" spans="1:12" s="76" customFormat="1" x14ac:dyDescent="0.25">
      <c r="A223" s="67">
        <f t="shared" si="53"/>
        <v>164</v>
      </c>
      <c r="B223" s="70" t="s">
        <v>48</v>
      </c>
      <c r="C223" s="16" t="s">
        <v>12</v>
      </c>
      <c r="D223" s="523" t="s">
        <v>49</v>
      </c>
      <c r="E223" s="524"/>
      <c r="F223" s="525"/>
      <c r="G223" s="15"/>
      <c r="H223" s="523" t="s">
        <v>49</v>
      </c>
      <c r="I223" s="524"/>
      <c r="J223" s="525"/>
      <c r="K223" s="9"/>
      <c r="L223" s="8"/>
    </row>
    <row r="224" spans="1:12" s="76" customFormat="1" x14ac:dyDescent="0.25">
      <c r="A224" s="67">
        <f t="shared" si="53"/>
        <v>165</v>
      </c>
      <c r="B224" s="70" t="s">
        <v>172</v>
      </c>
      <c r="C224" s="16" t="s">
        <v>12</v>
      </c>
      <c r="D224" s="15">
        <v>367.58</v>
      </c>
      <c r="E224" s="15">
        <f>ROUND(D224*0.2,2)</f>
        <v>73.52</v>
      </c>
      <c r="F224" s="69">
        <f>D224+E224</f>
        <v>441.09999999999997</v>
      </c>
      <c r="G224" s="15"/>
      <c r="H224" s="10">
        <f>MROUND((D224*(1+Sheet1!$C$3)),0.1)-2.7</f>
        <v>375.00000000000006</v>
      </c>
      <c r="I224" s="15">
        <f>ROUND(H224*0.2,2)</f>
        <v>75</v>
      </c>
      <c r="J224" s="15">
        <f>SUM(H224:I224)</f>
        <v>450.00000000000006</v>
      </c>
      <c r="K224" s="9">
        <f>J224-F224</f>
        <v>8.9000000000000909</v>
      </c>
      <c r="L224" s="8">
        <f>IF(F224="","NEW",K224/F224)</f>
        <v>2.0176830650646321E-2</v>
      </c>
    </row>
    <row r="225" spans="1:12" s="76" customFormat="1" x14ac:dyDescent="0.25">
      <c r="A225" s="67">
        <f t="shared" si="53"/>
        <v>166</v>
      </c>
      <c r="B225" s="70" t="s">
        <v>164</v>
      </c>
      <c r="C225" s="16" t="s">
        <v>12</v>
      </c>
      <c r="D225" s="15">
        <v>145.93</v>
      </c>
      <c r="E225" s="15">
        <f>ROUND(D225*0.2,2)</f>
        <v>29.19</v>
      </c>
      <c r="F225" s="69">
        <f>D225+E225</f>
        <v>175.12</v>
      </c>
      <c r="G225" s="15"/>
      <c r="H225" s="10">
        <f>MROUND((D225*(1+Sheet1!$C$3)),0.1)-4.07</f>
        <v>145.83000000000001</v>
      </c>
      <c r="I225" s="15">
        <f>ROUND(H225*0.2,2)</f>
        <v>29.17</v>
      </c>
      <c r="J225" s="15">
        <f>SUM(H225:I225)</f>
        <v>175</v>
      </c>
      <c r="K225" s="9">
        <f>J225-F225</f>
        <v>-0.12000000000000455</v>
      </c>
      <c r="L225" s="8">
        <f>IF(F225="","NEW",K225/F225)</f>
        <v>-6.8524440383739462E-4</v>
      </c>
    </row>
    <row r="226" spans="1:12" s="76" customFormat="1" x14ac:dyDescent="0.25">
      <c r="A226" s="67">
        <f t="shared" si="53"/>
        <v>167</v>
      </c>
      <c r="B226" s="70" t="s">
        <v>167</v>
      </c>
      <c r="C226" s="16" t="s">
        <v>12</v>
      </c>
      <c r="D226" s="15">
        <v>125.4</v>
      </c>
      <c r="E226" s="15">
        <f>ROUND(D226*0.2,2)</f>
        <v>25.08</v>
      </c>
      <c r="F226" s="69">
        <f>D226+E226</f>
        <v>150.48000000000002</v>
      </c>
      <c r="G226" s="15"/>
      <c r="H226" s="10">
        <f>MROUND((D226*(1+Sheet1!$C$3)),0.1)-3.8</f>
        <v>125.00000000000001</v>
      </c>
      <c r="I226" s="15">
        <f>ROUND(H226*0.2,2)</f>
        <v>25</v>
      </c>
      <c r="J226" s="15">
        <f>SUM(H226:I226)</f>
        <v>150</v>
      </c>
      <c r="K226" s="9">
        <f>J226-F226</f>
        <v>-0.48000000000001819</v>
      </c>
      <c r="L226" s="8">
        <f>IF(F226="","NEW",K226/F226)</f>
        <v>-3.1897926634769946E-3</v>
      </c>
    </row>
    <row r="227" spans="1:12" s="76" customFormat="1" x14ac:dyDescent="0.25">
      <c r="A227" s="67">
        <f t="shared" si="53"/>
        <v>168</v>
      </c>
      <c r="B227" s="70" t="s">
        <v>46</v>
      </c>
      <c r="C227" s="16" t="s">
        <v>12</v>
      </c>
      <c r="D227" s="15">
        <v>78.099999999999994</v>
      </c>
      <c r="E227" s="15">
        <f>ROUND(D227*0.2,2)</f>
        <v>15.62</v>
      </c>
      <c r="F227" s="69">
        <f>D227+E227</f>
        <v>93.72</v>
      </c>
      <c r="G227" s="15"/>
      <c r="H227" s="10">
        <f>MROUND((D227*(1+Sheet1!$C$3)),0.1)-1.03</f>
        <v>79.17</v>
      </c>
      <c r="I227" s="15">
        <f>ROUND(H227*0.2,2)</f>
        <v>15.83</v>
      </c>
      <c r="J227" s="15">
        <f>SUM(H227:I227)</f>
        <v>95</v>
      </c>
      <c r="K227" s="9">
        <f>J227-F227</f>
        <v>1.2800000000000011</v>
      </c>
      <c r="L227" s="8">
        <f>IF(F227="","NEW",K227/F227)</f>
        <v>1.3657703798548882E-2</v>
      </c>
    </row>
    <row r="228" spans="1:12" s="76" customFormat="1" x14ac:dyDescent="0.25">
      <c r="A228" s="67">
        <f t="shared" si="53"/>
        <v>169</v>
      </c>
      <c r="B228" s="70" t="s">
        <v>47</v>
      </c>
      <c r="C228" s="16" t="s">
        <v>12</v>
      </c>
      <c r="D228" s="15">
        <v>105.6</v>
      </c>
      <c r="E228" s="15">
        <f>ROUND(D228*0.2,2)</f>
        <v>21.12</v>
      </c>
      <c r="F228" s="69">
        <f>D228+E228</f>
        <v>126.72</v>
      </c>
      <c r="G228" s="15"/>
      <c r="H228" s="10">
        <f>MROUND((D228*(1+Sheet1!$C$3)),0.1)-0.17</f>
        <v>108.33</v>
      </c>
      <c r="I228" s="15">
        <f>ROUND(H228*0.2,2)</f>
        <v>21.67</v>
      </c>
      <c r="J228" s="15">
        <f>SUM(H228:I228)</f>
        <v>130</v>
      </c>
      <c r="K228" s="9">
        <f>J228-F228</f>
        <v>3.2800000000000011</v>
      </c>
      <c r="L228" s="8">
        <f>IF(F228="","NEW",K228/F228)</f>
        <v>2.5883838383838394E-2</v>
      </c>
    </row>
    <row r="229" spans="1:12" s="76" customFormat="1" x14ac:dyDescent="0.25">
      <c r="A229" s="67">
        <f t="shared" si="53"/>
        <v>170</v>
      </c>
      <c r="B229" s="70" t="s">
        <v>48</v>
      </c>
      <c r="C229" s="16" t="s">
        <v>12</v>
      </c>
      <c r="D229" s="523" t="s">
        <v>49</v>
      </c>
      <c r="E229" s="524"/>
      <c r="F229" s="525"/>
      <c r="G229" s="15"/>
      <c r="H229" s="523" t="s">
        <v>49</v>
      </c>
      <c r="I229" s="524"/>
      <c r="J229" s="525"/>
      <c r="K229" s="9"/>
      <c r="L229" s="8"/>
    </row>
    <row r="230" spans="1:12" s="76" customFormat="1" x14ac:dyDescent="0.25">
      <c r="A230" s="67"/>
      <c r="B230" s="70"/>
      <c r="C230" s="16"/>
      <c r="D230" s="27"/>
      <c r="E230" s="28"/>
      <c r="F230" s="320"/>
      <c r="G230" s="15"/>
      <c r="H230" s="27"/>
      <c r="I230" s="28"/>
      <c r="J230" s="320"/>
      <c r="K230" s="9"/>
      <c r="L230" s="8"/>
    </row>
    <row r="231" spans="1:12" s="76" customFormat="1" ht="16.5" x14ac:dyDescent="0.25">
      <c r="A231" s="67"/>
      <c r="B231" s="264" t="s">
        <v>173</v>
      </c>
      <c r="C231" s="16"/>
      <c r="D231" s="15"/>
      <c r="E231" s="15"/>
      <c r="F231" s="15"/>
      <c r="G231" s="15"/>
      <c r="H231" s="15"/>
      <c r="I231" s="15"/>
      <c r="J231" s="15"/>
      <c r="K231" s="9"/>
      <c r="L231" s="8"/>
    </row>
    <row r="232" spans="1:12" s="76" customFormat="1" x14ac:dyDescent="0.25">
      <c r="A232" s="67">
        <f>A229+1</f>
        <v>171</v>
      </c>
      <c r="B232" s="70" t="s">
        <v>174</v>
      </c>
      <c r="C232" s="16" t="s">
        <v>12</v>
      </c>
      <c r="D232" s="15">
        <v>1694</v>
      </c>
      <c r="E232" s="15"/>
      <c r="F232" s="69">
        <f>SUM(D232:E232)</f>
        <v>1694</v>
      </c>
      <c r="G232" s="15"/>
      <c r="H232" s="10">
        <f>MROUND((D232*(1+Sheet1!$C$3)),0.1)-0.6</f>
        <v>1740.0000000000002</v>
      </c>
      <c r="I232" s="15"/>
      <c r="J232" s="15">
        <f>SUM(H232:I232)</f>
        <v>1740.0000000000002</v>
      </c>
      <c r="K232" s="9">
        <f>J232-F232</f>
        <v>46.000000000000227</v>
      </c>
      <c r="L232" s="8">
        <f>IF(F232="","NEW",K232/F232)</f>
        <v>2.7154663518300017E-2</v>
      </c>
    </row>
    <row r="233" spans="1:12" s="76" customFormat="1" x14ac:dyDescent="0.25">
      <c r="A233" s="67">
        <f t="shared" si="53"/>
        <v>172</v>
      </c>
      <c r="B233" s="70" t="s">
        <v>175</v>
      </c>
      <c r="C233" s="16" t="s">
        <v>12</v>
      </c>
      <c r="D233" s="15">
        <v>187.91</v>
      </c>
      <c r="E233" s="15">
        <f>ROUND(D233*0.2,2)</f>
        <v>37.58</v>
      </c>
      <c r="F233" s="69">
        <f>SUM(D233:E233)</f>
        <v>225.49</v>
      </c>
      <c r="G233" s="15"/>
      <c r="H233" s="10">
        <f>MROUND((D233*(1+Sheet1!$C$3)),0.1)-1.43</f>
        <v>191.67000000000002</v>
      </c>
      <c r="I233" s="15">
        <f>ROUND(H233*0.2,2)</f>
        <v>38.33</v>
      </c>
      <c r="J233" s="15">
        <f>SUM(H233:I233)</f>
        <v>230</v>
      </c>
      <c r="K233" s="9">
        <f>J233-F233</f>
        <v>4.5099999999999909</v>
      </c>
      <c r="L233" s="8">
        <f>IF(F233="","NEW",K233/F233)</f>
        <v>2.0000886957292966E-2</v>
      </c>
    </row>
    <row r="234" spans="1:12" s="76" customFormat="1" x14ac:dyDescent="0.25">
      <c r="A234" s="67">
        <f t="shared" si="53"/>
        <v>173</v>
      </c>
      <c r="B234" s="70" t="s">
        <v>176</v>
      </c>
      <c r="C234" s="16" t="s">
        <v>12</v>
      </c>
      <c r="D234" s="15">
        <v>260.7</v>
      </c>
      <c r="E234" s="15">
        <f>ROUND(D234*0.2,2)</f>
        <v>52.14</v>
      </c>
      <c r="F234" s="69">
        <f>SUM(D234:E234)</f>
        <v>312.83999999999997</v>
      </c>
      <c r="G234" s="15"/>
      <c r="H234" s="10">
        <f>MROUND((D234*(1+Sheet1!$C$3)),0.1)-1.23</f>
        <v>266.67</v>
      </c>
      <c r="I234" s="15">
        <f>ROUND(H234*0.2,2)</f>
        <v>53.33</v>
      </c>
      <c r="J234" s="15">
        <f>SUM(H234:I234)</f>
        <v>320</v>
      </c>
      <c r="K234" s="9">
        <f>J234-F234</f>
        <v>7.160000000000025</v>
      </c>
      <c r="L234" s="8">
        <f>IF(F234="","NEW",K234/F234)</f>
        <v>2.2887098836466006E-2</v>
      </c>
    </row>
  </sheetData>
  <mergeCells count="18">
    <mergeCell ref="D229:F229"/>
    <mergeCell ref="H229:J229"/>
    <mergeCell ref="D210:F210"/>
    <mergeCell ref="H210:J210"/>
    <mergeCell ref="D217:F217"/>
    <mergeCell ref="H217:J217"/>
    <mergeCell ref="D223:F223"/>
    <mergeCell ref="H223:J223"/>
    <mergeCell ref="D197:F197"/>
    <mergeCell ref="H197:J197"/>
    <mergeCell ref="D203:F203"/>
    <mergeCell ref="H203:J203"/>
    <mergeCell ref="A1:B1"/>
    <mergeCell ref="K1:L1"/>
    <mergeCell ref="H34:J34"/>
    <mergeCell ref="D63:J63"/>
    <mergeCell ref="D64:J64"/>
    <mergeCell ref="D34:F34"/>
  </mergeCells>
  <conditionalFormatting sqref="L7:L234">
    <cfRule type="cellIs" dxfId="43" priority="69" operator="equal">
      <formula>"NEW"</formula>
    </cfRule>
  </conditionalFormatting>
  <dataValidations count="1">
    <dataValidation type="list" allowBlank="1" showInputMessage="1" showErrorMessage="1" sqref="C4:C234" xr:uid="{88D5A8DA-7166-44AE-AB29-15B2596CF76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&amp;L&amp;"Arial,Bold"&amp;16&amp;A&amp;C&amp;"Arial,Bold"&amp;16FEES AND CHARGES 2024/25</oddHeader>
    <oddFooter>&amp;L&amp;"Arial,Bold"&amp;16&amp;A&amp;C&amp;"Arial,Bold"&amp;16&amp;P</oddFooter>
  </headerFooter>
  <rowBreaks count="4" manualBreakCount="4">
    <brk id="65" max="13" man="1"/>
    <brk id="89" max="13" man="1"/>
    <brk id="120" max="13" man="1"/>
    <brk id="187" max="1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C33EA-3BEA-466F-BDCD-9B9F7FD89608}">
  <dimension ref="A1:M141"/>
  <sheetViews>
    <sheetView zoomScaleNormal="100" zoomScaleSheetLayoutView="70" zoomScalePageLayoutView="70" workbookViewId="0"/>
  </sheetViews>
  <sheetFormatPr defaultColWidth="8.7265625" defaultRowHeight="15.5" x14ac:dyDescent="0.35"/>
  <cols>
    <col min="1" max="1" width="8.7265625" style="95"/>
    <col min="2" max="2" width="21" style="82" customWidth="1"/>
    <col min="3" max="3" width="69.1796875" style="82" customWidth="1"/>
    <col min="4" max="4" width="21" style="96" bestFit="1" customWidth="1"/>
    <col min="5" max="5" width="16.26953125" style="96" customWidth="1"/>
    <col min="6" max="6" width="10.54296875" style="98" customWidth="1"/>
    <col min="7" max="7" width="16.26953125" style="98" customWidth="1"/>
    <col min="8" max="8" width="3.453125" style="82" customWidth="1"/>
    <col min="9" max="9" width="16.26953125" style="96" customWidth="1"/>
    <col min="10" max="10" width="10.54296875" style="98" customWidth="1"/>
    <col min="11" max="11" width="16.26953125" style="98" customWidth="1"/>
    <col min="12" max="12" width="11.26953125" style="82" customWidth="1"/>
    <col min="13" max="13" width="11.453125" style="82" customWidth="1"/>
    <col min="14" max="16384" width="8.7265625" style="82"/>
  </cols>
  <sheetData>
    <row r="1" spans="1:13" s="119" customFormat="1" ht="78.75" customHeight="1" thickBot="1" x14ac:dyDescent="0.45">
      <c r="A1" s="265"/>
      <c r="B1" s="531" t="s">
        <v>187</v>
      </c>
      <c r="C1" s="531"/>
      <c r="D1" s="26" t="s">
        <v>2</v>
      </c>
      <c r="E1" s="26" t="s">
        <v>3</v>
      </c>
      <c r="F1" s="26" t="s">
        <v>4</v>
      </c>
      <c r="G1" s="26" t="s">
        <v>5</v>
      </c>
      <c r="H1" s="26"/>
      <c r="I1" s="26" t="s">
        <v>6</v>
      </c>
      <c r="J1" s="26" t="s">
        <v>4</v>
      </c>
      <c r="K1" s="26" t="s">
        <v>7</v>
      </c>
      <c r="L1" s="532" t="s">
        <v>8</v>
      </c>
      <c r="M1" s="532"/>
    </row>
    <row r="2" spans="1:13" ht="19" thickTop="1" thickBot="1" x14ac:dyDescent="0.4">
      <c r="A2" s="80"/>
      <c r="B2" s="83"/>
      <c r="C2" s="266" t="s">
        <v>188</v>
      </c>
      <c r="D2" s="84"/>
      <c r="E2" s="84"/>
      <c r="F2" s="84"/>
      <c r="G2" s="84"/>
      <c r="H2" s="85"/>
      <c r="I2" s="84"/>
      <c r="J2" s="84"/>
      <c r="K2" s="84"/>
      <c r="L2" s="21" t="s">
        <v>9</v>
      </c>
      <c r="M2" s="20" t="s">
        <v>10</v>
      </c>
    </row>
    <row r="3" spans="1:13" ht="16.5" thickTop="1" thickBot="1" x14ac:dyDescent="0.4">
      <c r="A3" s="80">
        <v>1</v>
      </c>
      <c r="B3" s="533" t="s">
        <v>189</v>
      </c>
      <c r="C3" s="86" t="s">
        <v>190</v>
      </c>
      <c r="D3" s="87" t="s">
        <v>191</v>
      </c>
      <c r="E3" s="88">
        <v>215.79000000000002</v>
      </c>
      <c r="F3" s="89">
        <f t="shared" ref="F3:F16" si="0">ROUND(E3*0.2,2)</f>
        <v>43.16</v>
      </c>
      <c r="G3" s="89">
        <f t="shared" ref="G3:G17" si="1">SUM(E3+F3)</f>
        <v>258.95000000000005</v>
      </c>
      <c r="H3" s="90"/>
      <c r="I3" s="88">
        <f>MROUND((E3*(1+Sheet1!$C$3)),0.01)+0.01</f>
        <v>221.73</v>
      </c>
      <c r="J3" s="89">
        <f t="shared" ref="J3:J17" si="2">ROUND(I3*0.2,2)</f>
        <v>44.35</v>
      </c>
      <c r="K3" s="89">
        <f t="shared" ref="K3:K17" si="3">SUM(I3+J3)</f>
        <v>266.08</v>
      </c>
      <c r="L3" s="9">
        <f t="shared" ref="L3:L62" si="4">K3-G3</f>
        <v>7.1299999999999386</v>
      </c>
      <c r="M3" s="8">
        <f t="shared" ref="M3:M62" si="5">IF(G3="","NEW",L3/G3)</f>
        <v>2.753427302568039E-2</v>
      </c>
    </row>
    <row r="4" spans="1:13" ht="16" thickBot="1" x14ac:dyDescent="0.4">
      <c r="A4" s="80">
        <f t="shared" ref="A4:A43" si="6">1+A3</f>
        <v>2</v>
      </c>
      <c r="B4" s="533"/>
      <c r="C4" s="86" t="s">
        <v>192</v>
      </c>
      <c r="D4" s="87" t="s">
        <v>191</v>
      </c>
      <c r="E4" s="88">
        <v>323.68500000000006</v>
      </c>
      <c r="F4" s="89">
        <f t="shared" si="0"/>
        <v>64.739999999999995</v>
      </c>
      <c r="G4" s="89">
        <f t="shared" si="1"/>
        <v>388.42500000000007</v>
      </c>
      <c r="H4" s="90"/>
      <c r="I4" s="88">
        <f>MROUND((E4*(1+Sheet1!$C$3)),0.01)+0.01</f>
        <v>332.6</v>
      </c>
      <c r="J4" s="89">
        <f t="shared" si="2"/>
        <v>66.52</v>
      </c>
      <c r="K4" s="89">
        <f t="shared" si="3"/>
        <v>399.12</v>
      </c>
      <c r="L4" s="9">
        <f t="shared" si="4"/>
        <v>10.694999999999936</v>
      </c>
      <c r="M4" s="8">
        <f t="shared" si="5"/>
        <v>2.7534273025680466E-2</v>
      </c>
    </row>
    <row r="5" spans="1:13" ht="16" thickBot="1" x14ac:dyDescent="0.4">
      <c r="A5" s="80">
        <f t="shared" si="6"/>
        <v>3</v>
      </c>
      <c r="B5" s="533"/>
      <c r="C5" s="86" t="s">
        <v>193</v>
      </c>
      <c r="D5" s="87" t="s">
        <v>191</v>
      </c>
      <c r="E5" s="88">
        <v>431.58000000000004</v>
      </c>
      <c r="F5" s="89">
        <f>ROUND(E5*0.2,2)</f>
        <v>86.32</v>
      </c>
      <c r="G5" s="89">
        <f t="shared" si="1"/>
        <v>517.90000000000009</v>
      </c>
      <c r="H5" s="90"/>
      <c r="I5" s="88">
        <f>MROUND((E5*(1+Sheet1!$C$3)),0.01)+0.01</f>
        <v>443.46</v>
      </c>
      <c r="J5" s="89">
        <f>ROUND(I5*0.2,2)</f>
        <v>88.69</v>
      </c>
      <c r="K5" s="89">
        <f t="shared" si="3"/>
        <v>532.15</v>
      </c>
      <c r="L5" s="9">
        <f t="shared" si="4"/>
        <v>14.249999999999886</v>
      </c>
      <c r="M5" s="8">
        <f t="shared" si="5"/>
        <v>2.7514964278818079E-2</v>
      </c>
    </row>
    <row r="6" spans="1:13" ht="16" thickBot="1" x14ac:dyDescent="0.4">
      <c r="A6" s="80">
        <f t="shared" si="6"/>
        <v>4</v>
      </c>
      <c r="B6" s="533"/>
      <c r="C6" s="86" t="s">
        <v>194</v>
      </c>
      <c r="D6" s="87" t="s">
        <v>191</v>
      </c>
      <c r="E6" s="88">
        <v>539.47500000000002</v>
      </c>
      <c r="F6" s="89">
        <f t="shared" si="0"/>
        <v>107.9</v>
      </c>
      <c r="G6" s="89">
        <f t="shared" si="1"/>
        <v>647.375</v>
      </c>
      <c r="H6" s="90"/>
      <c r="I6" s="88">
        <f>MROUND((E6*(1+Sheet1!$C$3)),0.01)+0.02</f>
        <v>554.33000000000004</v>
      </c>
      <c r="J6" s="89">
        <f t="shared" si="2"/>
        <v>110.87</v>
      </c>
      <c r="K6" s="89">
        <f t="shared" si="3"/>
        <v>665.2</v>
      </c>
      <c r="L6" s="9">
        <f t="shared" si="4"/>
        <v>17.825000000000045</v>
      </c>
      <c r="M6" s="8">
        <f t="shared" si="5"/>
        <v>2.7534273025680702E-2</v>
      </c>
    </row>
    <row r="7" spans="1:13" ht="16" thickBot="1" x14ac:dyDescent="0.4">
      <c r="A7" s="80">
        <f t="shared" si="6"/>
        <v>5</v>
      </c>
      <c r="B7" s="533"/>
      <c r="C7" s="86" t="s">
        <v>195</v>
      </c>
      <c r="D7" s="87" t="s">
        <v>191</v>
      </c>
      <c r="E7" s="88">
        <v>647.37000000000012</v>
      </c>
      <c r="F7" s="89">
        <f>ROUND(E7*0.2,2)</f>
        <v>129.47</v>
      </c>
      <c r="G7" s="89">
        <f t="shared" si="1"/>
        <v>776.84000000000015</v>
      </c>
      <c r="H7" s="90"/>
      <c r="I7" s="88">
        <f>MROUND((E7*(1+Sheet1!$C$3)),0.01)+0.02</f>
        <v>665.18999999999994</v>
      </c>
      <c r="J7" s="89">
        <f t="shared" si="2"/>
        <v>133.04</v>
      </c>
      <c r="K7" s="89">
        <f t="shared" si="3"/>
        <v>798.2299999999999</v>
      </c>
      <c r="L7" s="9">
        <f t="shared" si="4"/>
        <v>21.389999999999759</v>
      </c>
      <c r="M7" s="8">
        <f t="shared" si="5"/>
        <v>2.7534627465114765E-2</v>
      </c>
    </row>
    <row r="8" spans="1:13" ht="16" thickBot="1" x14ac:dyDescent="0.4">
      <c r="A8" s="80">
        <f t="shared" si="6"/>
        <v>6</v>
      </c>
      <c r="B8" s="533" t="s">
        <v>196</v>
      </c>
      <c r="C8" s="86" t="s">
        <v>190</v>
      </c>
      <c r="D8" s="87" t="s">
        <v>191</v>
      </c>
      <c r="E8" s="88">
        <v>647.37000000000012</v>
      </c>
      <c r="F8" s="89">
        <f>ROUND(E8*0.2,2)</f>
        <v>129.47</v>
      </c>
      <c r="G8" s="89">
        <f t="shared" si="1"/>
        <v>776.84000000000015</v>
      </c>
      <c r="H8" s="90"/>
      <c r="I8" s="88">
        <f>MROUND((E8*(1+Sheet1!$C$3)),0.01)+0.02</f>
        <v>665.18999999999994</v>
      </c>
      <c r="J8" s="89">
        <f t="shared" si="2"/>
        <v>133.04</v>
      </c>
      <c r="K8" s="89">
        <f t="shared" si="3"/>
        <v>798.2299999999999</v>
      </c>
      <c r="L8" s="9">
        <f t="shared" si="4"/>
        <v>21.389999999999759</v>
      </c>
      <c r="M8" s="8">
        <f t="shared" si="5"/>
        <v>2.7534627465114765E-2</v>
      </c>
    </row>
    <row r="9" spans="1:13" ht="16" thickBot="1" x14ac:dyDescent="0.4">
      <c r="A9" s="80">
        <f t="shared" si="6"/>
        <v>7</v>
      </c>
      <c r="B9" s="533"/>
      <c r="C9" s="86" t="s">
        <v>192</v>
      </c>
      <c r="D9" s="87" t="s">
        <v>191</v>
      </c>
      <c r="E9" s="88">
        <v>971.05500000000006</v>
      </c>
      <c r="F9" s="89">
        <f t="shared" si="0"/>
        <v>194.21</v>
      </c>
      <c r="G9" s="89">
        <f t="shared" si="1"/>
        <v>1165.2650000000001</v>
      </c>
      <c r="H9" s="90"/>
      <c r="I9" s="88">
        <f>MROUND((E9*(1+Sheet1!$C$3)),0.01)+0.03</f>
        <v>997.79</v>
      </c>
      <c r="J9" s="89">
        <f t="shared" si="2"/>
        <v>199.56</v>
      </c>
      <c r="K9" s="89">
        <f t="shared" si="3"/>
        <v>1197.3499999999999</v>
      </c>
      <c r="L9" s="9">
        <f t="shared" si="4"/>
        <v>32.084999999999809</v>
      </c>
      <c r="M9" s="8">
        <f t="shared" si="5"/>
        <v>2.7534509317622864E-2</v>
      </c>
    </row>
    <row r="10" spans="1:13" ht="16" thickBot="1" x14ac:dyDescent="0.4">
      <c r="A10" s="80">
        <f t="shared" si="6"/>
        <v>8</v>
      </c>
      <c r="B10" s="533"/>
      <c r="C10" s="86" t="s">
        <v>193</v>
      </c>
      <c r="D10" s="87" t="s">
        <v>191</v>
      </c>
      <c r="E10" s="88">
        <v>1294.7400000000002</v>
      </c>
      <c r="F10" s="89">
        <f t="shared" si="0"/>
        <v>258.95</v>
      </c>
      <c r="G10" s="89">
        <f t="shared" si="1"/>
        <v>1553.6900000000003</v>
      </c>
      <c r="H10" s="90"/>
      <c r="I10" s="88">
        <f>MROUND((E10*(1+Sheet1!$C$3)),0.01)+0.03</f>
        <v>1330.38</v>
      </c>
      <c r="J10" s="89">
        <f t="shared" si="2"/>
        <v>266.08</v>
      </c>
      <c r="K10" s="89">
        <f t="shared" si="3"/>
        <v>1596.46</v>
      </c>
      <c r="L10" s="9">
        <f t="shared" si="4"/>
        <v>42.769999999999754</v>
      </c>
      <c r="M10" s="8">
        <f t="shared" si="5"/>
        <v>2.752801395387738E-2</v>
      </c>
    </row>
    <row r="11" spans="1:13" ht="16" thickBot="1" x14ac:dyDescent="0.4">
      <c r="A11" s="80">
        <f t="shared" si="6"/>
        <v>9</v>
      </c>
      <c r="B11" s="533"/>
      <c r="C11" s="86" t="s">
        <v>194</v>
      </c>
      <c r="D11" s="87" t="s">
        <v>191</v>
      </c>
      <c r="E11" s="88">
        <v>1618.4250000000002</v>
      </c>
      <c r="F11" s="89">
        <f>ROUND(E11*0.2,2)</f>
        <v>323.69</v>
      </c>
      <c r="G11" s="89">
        <f t="shared" si="1"/>
        <v>1942.1150000000002</v>
      </c>
      <c r="H11" s="90"/>
      <c r="I11" s="88">
        <f>MROUND((E11*(1+Sheet1!$C$3)),0.01)+0.05</f>
        <v>1662.98</v>
      </c>
      <c r="J11" s="89">
        <f>ROUND(I11*0.2,2)</f>
        <v>332.6</v>
      </c>
      <c r="K11" s="89">
        <f t="shared" si="3"/>
        <v>1995.58</v>
      </c>
      <c r="L11" s="9">
        <f t="shared" si="4"/>
        <v>53.464999999999691</v>
      </c>
      <c r="M11" s="8">
        <f t="shared" si="5"/>
        <v>2.7529265774683623E-2</v>
      </c>
    </row>
    <row r="12" spans="1:13" ht="16" thickBot="1" x14ac:dyDescent="0.4">
      <c r="A12" s="80">
        <f t="shared" si="6"/>
        <v>10</v>
      </c>
      <c r="B12" s="533"/>
      <c r="C12" s="86" t="s">
        <v>195</v>
      </c>
      <c r="D12" s="87" t="s">
        <v>191</v>
      </c>
      <c r="E12" s="88">
        <v>1942.1100000000001</v>
      </c>
      <c r="F12" s="89">
        <f t="shared" si="0"/>
        <v>388.42</v>
      </c>
      <c r="G12" s="89">
        <f t="shared" si="1"/>
        <v>2330.5300000000002</v>
      </c>
      <c r="H12" s="90"/>
      <c r="I12" s="88">
        <f>MROUND((E12*(1+Sheet1!$C$3)),0.01)+0.05</f>
        <v>1995.57</v>
      </c>
      <c r="J12" s="89">
        <f t="shared" si="2"/>
        <v>399.11</v>
      </c>
      <c r="K12" s="89">
        <f t="shared" si="3"/>
        <v>2394.6799999999998</v>
      </c>
      <c r="L12" s="9">
        <f t="shared" si="4"/>
        <v>64.149999999999636</v>
      </c>
      <c r="M12" s="8">
        <f t="shared" si="5"/>
        <v>2.7525927578705114E-2</v>
      </c>
    </row>
    <row r="13" spans="1:13" ht="16" thickBot="1" x14ac:dyDescent="0.4">
      <c r="A13" s="80">
        <f t="shared" si="6"/>
        <v>11</v>
      </c>
      <c r="B13" s="533" t="s">
        <v>197</v>
      </c>
      <c r="C13" s="86" t="s">
        <v>190</v>
      </c>
      <c r="D13" s="87" t="s">
        <v>191</v>
      </c>
      <c r="E13" s="88">
        <v>899.12500000000011</v>
      </c>
      <c r="F13" s="89">
        <f t="shared" si="0"/>
        <v>179.83</v>
      </c>
      <c r="G13" s="89">
        <f t="shared" si="1"/>
        <v>1078.9550000000002</v>
      </c>
      <c r="H13" s="90"/>
      <c r="I13" s="88">
        <f>MROUND((E13*(1+Sheet1!$C$3)),0.01)+0.03</f>
        <v>923.88</v>
      </c>
      <c r="J13" s="89">
        <f t="shared" si="2"/>
        <v>184.78</v>
      </c>
      <c r="K13" s="89">
        <f t="shared" si="3"/>
        <v>1108.6600000000001</v>
      </c>
      <c r="L13" s="9">
        <f t="shared" si="4"/>
        <v>29.704999999999927</v>
      </c>
      <c r="M13" s="8">
        <f t="shared" si="5"/>
        <v>2.7531268681270232E-2</v>
      </c>
    </row>
    <row r="14" spans="1:13" ht="16" thickBot="1" x14ac:dyDescent="0.4">
      <c r="A14" s="80">
        <f t="shared" si="6"/>
        <v>12</v>
      </c>
      <c r="B14" s="533"/>
      <c r="C14" s="86" t="s">
        <v>192</v>
      </c>
      <c r="D14" s="87" t="s">
        <v>191</v>
      </c>
      <c r="E14" s="88">
        <v>1366.67</v>
      </c>
      <c r="F14" s="89">
        <f t="shared" si="0"/>
        <v>273.33</v>
      </c>
      <c r="G14" s="89">
        <f t="shared" si="1"/>
        <v>1640</v>
      </c>
      <c r="H14" s="90"/>
      <c r="I14" s="88">
        <f>MROUND((E14*(1+Sheet1!$C$3)),0.01)+0.04</f>
        <v>1404.29</v>
      </c>
      <c r="J14" s="89">
        <f t="shared" si="2"/>
        <v>280.86</v>
      </c>
      <c r="K14" s="89">
        <f t="shared" si="3"/>
        <v>1685.15</v>
      </c>
      <c r="L14" s="9">
        <f t="shared" si="4"/>
        <v>45.150000000000091</v>
      </c>
      <c r="M14" s="8">
        <f t="shared" si="5"/>
        <v>2.7530487804878104E-2</v>
      </c>
    </row>
    <row r="15" spans="1:13" ht="16" thickBot="1" x14ac:dyDescent="0.4">
      <c r="A15" s="80">
        <f t="shared" si="6"/>
        <v>13</v>
      </c>
      <c r="B15" s="533"/>
      <c r="C15" s="86" t="s">
        <v>193</v>
      </c>
      <c r="D15" s="87" t="s">
        <v>191</v>
      </c>
      <c r="E15" s="88">
        <v>1762.2850000000001</v>
      </c>
      <c r="F15" s="89">
        <f t="shared" si="0"/>
        <v>352.46</v>
      </c>
      <c r="G15" s="89">
        <f t="shared" si="1"/>
        <v>2114.7449999999999</v>
      </c>
      <c r="H15" s="90"/>
      <c r="I15" s="88">
        <f>MROUND((E15*(1+Sheet1!$C$3)),0.01)+0.05</f>
        <v>1810.8</v>
      </c>
      <c r="J15" s="89">
        <f t="shared" si="2"/>
        <v>362.16</v>
      </c>
      <c r="K15" s="89">
        <f t="shared" si="3"/>
        <v>2172.96</v>
      </c>
      <c r="L15" s="9">
        <f t="shared" si="4"/>
        <v>58.215000000000146</v>
      </c>
      <c r="M15" s="8">
        <f t="shared" si="5"/>
        <v>2.752814169084223E-2</v>
      </c>
    </row>
    <row r="16" spans="1:13" ht="16" thickBot="1" x14ac:dyDescent="0.4">
      <c r="A16" s="80">
        <f t="shared" si="6"/>
        <v>14</v>
      </c>
      <c r="B16" s="533"/>
      <c r="C16" s="86" t="s">
        <v>194</v>
      </c>
      <c r="D16" s="87" t="s">
        <v>191</v>
      </c>
      <c r="E16" s="88">
        <v>2229.8300000000004</v>
      </c>
      <c r="F16" s="89">
        <f t="shared" si="0"/>
        <v>445.97</v>
      </c>
      <c r="G16" s="89">
        <f t="shared" si="1"/>
        <v>2675.8</v>
      </c>
      <c r="H16" s="90"/>
      <c r="I16" s="88">
        <f>MROUND((E16*(1+Sheet1!$C$3)),0.01)+0.06</f>
        <v>2291.21</v>
      </c>
      <c r="J16" s="89">
        <f t="shared" si="2"/>
        <v>458.24</v>
      </c>
      <c r="K16" s="89">
        <f t="shared" si="3"/>
        <v>2749.45</v>
      </c>
      <c r="L16" s="9">
        <f t="shared" si="4"/>
        <v>73.649999999999636</v>
      </c>
      <c r="M16" s="8">
        <f t="shared" si="5"/>
        <v>2.752447866058735E-2</v>
      </c>
    </row>
    <row r="17" spans="1:13" ht="16" thickBot="1" x14ac:dyDescent="0.4">
      <c r="A17" s="80">
        <f t="shared" si="6"/>
        <v>15</v>
      </c>
      <c r="B17" s="533"/>
      <c r="C17" s="86" t="s">
        <v>195</v>
      </c>
      <c r="D17" s="87" t="s">
        <v>191</v>
      </c>
      <c r="E17" s="88">
        <v>2661.4100000000003</v>
      </c>
      <c r="F17" s="89">
        <f>ROUND(E17*0.2,2)</f>
        <v>532.28</v>
      </c>
      <c r="G17" s="89">
        <f t="shared" si="1"/>
        <v>3193.6900000000005</v>
      </c>
      <c r="H17" s="90"/>
      <c r="I17" s="88">
        <f>MROUND((E17*(1+Sheet1!$C$3)),0.01)+0.07</f>
        <v>2734.67</v>
      </c>
      <c r="J17" s="89">
        <f t="shared" si="2"/>
        <v>546.92999999999995</v>
      </c>
      <c r="K17" s="89">
        <f t="shared" si="3"/>
        <v>3281.6</v>
      </c>
      <c r="L17" s="9">
        <f t="shared" si="4"/>
        <v>87.9099999999994</v>
      </c>
      <c r="M17" s="8">
        <f t="shared" si="5"/>
        <v>2.7526153133209354E-2</v>
      </c>
    </row>
    <row r="18" spans="1:13" ht="16" thickBot="1" x14ac:dyDescent="0.4">
      <c r="A18" s="80">
        <f t="shared" si="6"/>
        <v>16</v>
      </c>
      <c r="B18" s="533" t="s">
        <v>198</v>
      </c>
      <c r="C18" s="86" t="s">
        <v>190</v>
      </c>
      <c r="D18" s="87" t="s">
        <v>191</v>
      </c>
      <c r="E18" s="534" t="s">
        <v>199</v>
      </c>
      <c r="F18" s="535"/>
      <c r="G18" s="535"/>
      <c r="H18" s="535"/>
      <c r="I18" s="535"/>
      <c r="J18" s="535"/>
      <c r="K18" s="536"/>
      <c r="L18" s="9"/>
      <c r="M18" s="8"/>
    </row>
    <row r="19" spans="1:13" ht="16" thickBot="1" x14ac:dyDescent="0.4">
      <c r="A19" s="80">
        <f t="shared" si="6"/>
        <v>17</v>
      </c>
      <c r="B19" s="533"/>
      <c r="C19" s="86" t="s">
        <v>192</v>
      </c>
      <c r="D19" s="87" t="s">
        <v>191</v>
      </c>
      <c r="E19" s="534" t="s">
        <v>199</v>
      </c>
      <c r="F19" s="535"/>
      <c r="G19" s="535"/>
      <c r="H19" s="535"/>
      <c r="I19" s="535"/>
      <c r="J19" s="535"/>
      <c r="K19" s="536"/>
      <c r="L19" s="9"/>
      <c r="M19" s="8"/>
    </row>
    <row r="20" spans="1:13" ht="16" thickBot="1" x14ac:dyDescent="0.4">
      <c r="A20" s="80">
        <f t="shared" si="6"/>
        <v>18</v>
      </c>
      <c r="B20" s="533"/>
      <c r="C20" s="86" t="s">
        <v>193</v>
      </c>
      <c r="D20" s="87" t="s">
        <v>191</v>
      </c>
      <c r="E20" s="534" t="s">
        <v>199</v>
      </c>
      <c r="F20" s="535"/>
      <c r="G20" s="535"/>
      <c r="H20" s="535"/>
      <c r="I20" s="535"/>
      <c r="J20" s="535"/>
      <c r="K20" s="536"/>
      <c r="L20" s="9"/>
      <c r="M20" s="8"/>
    </row>
    <row r="21" spans="1:13" ht="16" thickBot="1" x14ac:dyDescent="0.4">
      <c r="A21" s="80">
        <f t="shared" si="6"/>
        <v>19</v>
      </c>
      <c r="B21" s="533"/>
      <c r="C21" s="86" t="s">
        <v>194</v>
      </c>
      <c r="D21" s="87" t="s">
        <v>191</v>
      </c>
      <c r="E21" s="534" t="s">
        <v>199</v>
      </c>
      <c r="F21" s="535"/>
      <c r="G21" s="535"/>
      <c r="H21" s="535"/>
      <c r="I21" s="535"/>
      <c r="J21" s="535"/>
      <c r="K21" s="536"/>
      <c r="L21" s="9"/>
      <c r="M21" s="8"/>
    </row>
    <row r="22" spans="1:13" ht="16" thickBot="1" x14ac:dyDescent="0.4">
      <c r="A22" s="80">
        <f t="shared" si="6"/>
        <v>20</v>
      </c>
      <c r="B22" s="533"/>
      <c r="C22" s="86" t="s">
        <v>195</v>
      </c>
      <c r="D22" s="87" t="s">
        <v>191</v>
      </c>
      <c r="E22" s="534" t="s">
        <v>199</v>
      </c>
      <c r="F22" s="535"/>
      <c r="G22" s="535"/>
      <c r="H22" s="535"/>
      <c r="I22" s="535"/>
      <c r="J22" s="535"/>
      <c r="K22" s="536"/>
      <c r="L22" s="9"/>
      <c r="M22" s="8"/>
    </row>
    <row r="23" spans="1:13" ht="16" thickBot="1" x14ac:dyDescent="0.4">
      <c r="A23" s="80">
        <f t="shared" si="6"/>
        <v>21</v>
      </c>
      <c r="B23" s="533" t="s">
        <v>189</v>
      </c>
      <c r="C23" s="86" t="s">
        <v>200</v>
      </c>
      <c r="D23" s="87" t="s">
        <v>191</v>
      </c>
      <c r="E23" s="88">
        <v>179.82500000000002</v>
      </c>
      <c r="F23" s="89">
        <f t="shared" ref="F23:F37" si="7">ROUND(E23*0.2,2)</f>
        <v>35.97</v>
      </c>
      <c r="G23" s="91">
        <f t="shared" ref="G23:G37" si="8">SUM(E23+F23)</f>
        <v>215.79500000000002</v>
      </c>
      <c r="H23" s="90"/>
      <c r="I23" s="88">
        <f>MROUND((E23*(1+Sheet1!$C$3)),0.01)+0.01</f>
        <v>184.78</v>
      </c>
      <c r="J23" s="89">
        <f t="shared" ref="J23:J25" si="9">ROUND(I23*0.2,2)</f>
        <v>36.96</v>
      </c>
      <c r="K23" s="91">
        <f t="shared" ref="K23:K37" si="10">SUM(I23+J23)</f>
        <v>221.74</v>
      </c>
      <c r="L23" s="9">
        <f t="shared" si="4"/>
        <v>5.9449999999999932</v>
      </c>
      <c r="M23" s="8">
        <f t="shared" si="5"/>
        <v>2.7549294469287947E-2</v>
      </c>
    </row>
    <row r="24" spans="1:13" ht="16" thickBot="1" x14ac:dyDescent="0.4">
      <c r="A24" s="80">
        <f t="shared" si="6"/>
        <v>22</v>
      </c>
      <c r="B24" s="533"/>
      <c r="C24" s="86" t="s">
        <v>201</v>
      </c>
      <c r="D24" s="87" t="s">
        <v>191</v>
      </c>
      <c r="E24" s="88">
        <v>287.72000000000003</v>
      </c>
      <c r="F24" s="89">
        <f t="shared" si="7"/>
        <v>57.54</v>
      </c>
      <c r="G24" s="91">
        <f t="shared" si="8"/>
        <v>345.26000000000005</v>
      </c>
      <c r="H24" s="90"/>
      <c r="I24" s="88">
        <f>MROUND((E24*(1+Sheet1!$C$3)),0.01)+0.01</f>
        <v>295.64</v>
      </c>
      <c r="J24" s="89">
        <f t="shared" si="9"/>
        <v>59.13</v>
      </c>
      <c r="K24" s="91">
        <f t="shared" si="10"/>
        <v>354.77</v>
      </c>
      <c r="L24" s="9">
        <f t="shared" si="4"/>
        <v>9.5099999999999341</v>
      </c>
      <c r="M24" s="8">
        <f t="shared" si="5"/>
        <v>2.7544459248102685E-2</v>
      </c>
    </row>
    <row r="25" spans="1:13" ht="16" thickBot="1" x14ac:dyDescent="0.4">
      <c r="A25" s="80">
        <f t="shared" si="6"/>
        <v>23</v>
      </c>
      <c r="B25" s="533"/>
      <c r="C25" s="86" t="s">
        <v>202</v>
      </c>
      <c r="D25" s="87" t="s">
        <v>191</v>
      </c>
      <c r="E25" s="88">
        <v>359.65000000000003</v>
      </c>
      <c r="F25" s="89">
        <f t="shared" si="7"/>
        <v>71.930000000000007</v>
      </c>
      <c r="G25" s="91">
        <f t="shared" si="8"/>
        <v>431.58000000000004</v>
      </c>
      <c r="H25" s="90"/>
      <c r="I25" s="88">
        <f>MROUND((E25*(1+Sheet1!$C$3)),0.01)+0.01</f>
        <v>369.55</v>
      </c>
      <c r="J25" s="89">
        <f t="shared" si="9"/>
        <v>73.91</v>
      </c>
      <c r="K25" s="91">
        <f t="shared" si="10"/>
        <v>443.46000000000004</v>
      </c>
      <c r="L25" s="9">
        <f t="shared" si="4"/>
        <v>11.879999999999995</v>
      </c>
      <c r="M25" s="8">
        <f t="shared" si="5"/>
        <v>2.7526762129848451E-2</v>
      </c>
    </row>
    <row r="26" spans="1:13" ht="16" thickBot="1" x14ac:dyDescent="0.4">
      <c r="A26" s="80">
        <f t="shared" si="6"/>
        <v>24</v>
      </c>
      <c r="B26" s="533"/>
      <c r="C26" s="86" t="s">
        <v>203</v>
      </c>
      <c r="D26" s="87" t="s">
        <v>191</v>
      </c>
      <c r="E26" s="88">
        <v>431.58000000000004</v>
      </c>
      <c r="F26" s="89">
        <f>ROUND(E26*0.2,2)</f>
        <v>86.32</v>
      </c>
      <c r="G26" s="91">
        <f t="shared" si="8"/>
        <v>517.90000000000009</v>
      </c>
      <c r="H26" s="90"/>
      <c r="I26" s="88">
        <f>MROUND((E26*(1+Sheet1!$C$3)),0.01)+0.01</f>
        <v>443.46</v>
      </c>
      <c r="J26" s="89">
        <f>ROUND(I26*0.2,2)</f>
        <v>88.69</v>
      </c>
      <c r="K26" s="91">
        <f t="shared" si="10"/>
        <v>532.15</v>
      </c>
      <c r="L26" s="9">
        <f t="shared" si="4"/>
        <v>14.249999999999886</v>
      </c>
      <c r="M26" s="8">
        <f t="shared" si="5"/>
        <v>2.7514964278818079E-2</v>
      </c>
    </row>
    <row r="27" spans="1:13" ht="16" thickBot="1" x14ac:dyDescent="0.4">
      <c r="A27" s="80">
        <f t="shared" si="6"/>
        <v>25</v>
      </c>
      <c r="B27" s="533"/>
      <c r="C27" s="86" t="s">
        <v>204</v>
      </c>
      <c r="D27" s="87" t="s">
        <v>191</v>
      </c>
      <c r="E27" s="88">
        <v>539.47500000000002</v>
      </c>
      <c r="F27" s="89">
        <f t="shared" si="7"/>
        <v>107.9</v>
      </c>
      <c r="G27" s="91">
        <f t="shared" si="8"/>
        <v>647.375</v>
      </c>
      <c r="H27" s="90"/>
      <c r="I27" s="88">
        <f>MROUND((E27*(1+Sheet1!$C$3)),0.01)+0.02</f>
        <v>554.33000000000004</v>
      </c>
      <c r="J27" s="89">
        <f t="shared" ref="J27:J29" si="11">ROUND(I27*0.2,2)</f>
        <v>110.87</v>
      </c>
      <c r="K27" s="91">
        <f t="shared" si="10"/>
        <v>665.2</v>
      </c>
      <c r="L27" s="9">
        <f t="shared" si="4"/>
        <v>17.825000000000045</v>
      </c>
      <c r="M27" s="8">
        <f t="shared" si="5"/>
        <v>2.7534273025680702E-2</v>
      </c>
    </row>
    <row r="28" spans="1:13" ht="16" thickBot="1" x14ac:dyDescent="0.4">
      <c r="A28" s="80">
        <f t="shared" si="6"/>
        <v>26</v>
      </c>
      <c r="B28" s="533" t="s">
        <v>196</v>
      </c>
      <c r="C28" s="86" t="s">
        <v>200</v>
      </c>
      <c r="D28" s="87" t="s">
        <v>191</v>
      </c>
      <c r="E28" s="88">
        <v>539.47500000000002</v>
      </c>
      <c r="F28" s="89">
        <f t="shared" si="7"/>
        <v>107.9</v>
      </c>
      <c r="G28" s="91">
        <f t="shared" si="8"/>
        <v>647.375</v>
      </c>
      <c r="H28" s="90"/>
      <c r="I28" s="88">
        <f>MROUND((E28*(1+Sheet1!$C$3)),0.01)+0.02</f>
        <v>554.33000000000004</v>
      </c>
      <c r="J28" s="89">
        <f t="shared" si="11"/>
        <v>110.87</v>
      </c>
      <c r="K28" s="91">
        <f t="shared" si="10"/>
        <v>665.2</v>
      </c>
      <c r="L28" s="9">
        <f t="shared" si="4"/>
        <v>17.825000000000045</v>
      </c>
      <c r="M28" s="8">
        <f t="shared" si="5"/>
        <v>2.7534273025680702E-2</v>
      </c>
    </row>
    <row r="29" spans="1:13" ht="16" thickBot="1" x14ac:dyDescent="0.4">
      <c r="A29" s="80">
        <f t="shared" si="6"/>
        <v>27</v>
      </c>
      <c r="B29" s="533"/>
      <c r="C29" s="86" t="s">
        <v>201</v>
      </c>
      <c r="D29" s="87" t="s">
        <v>191</v>
      </c>
      <c r="E29" s="88">
        <v>863.16000000000008</v>
      </c>
      <c r="F29" s="89">
        <f t="shared" si="7"/>
        <v>172.63</v>
      </c>
      <c r="G29" s="91">
        <f t="shared" si="8"/>
        <v>1035.79</v>
      </c>
      <c r="H29" s="90"/>
      <c r="I29" s="88">
        <f>MROUND((E29*(1+Sheet1!$C$3)),0.01)+0.02</f>
        <v>886.92</v>
      </c>
      <c r="J29" s="89">
        <f t="shared" si="11"/>
        <v>177.38</v>
      </c>
      <c r="K29" s="91">
        <f t="shared" si="10"/>
        <v>1064.3</v>
      </c>
      <c r="L29" s="9">
        <f t="shared" si="4"/>
        <v>28.509999999999991</v>
      </c>
      <c r="M29" s="8">
        <f t="shared" si="5"/>
        <v>2.7524884387761989E-2</v>
      </c>
    </row>
    <row r="30" spans="1:13" ht="16" thickBot="1" x14ac:dyDescent="0.4">
      <c r="A30" s="80">
        <f t="shared" si="6"/>
        <v>28</v>
      </c>
      <c r="B30" s="533"/>
      <c r="C30" s="86" t="s">
        <v>202</v>
      </c>
      <c r="D30" s="87" t="s">
        <v>191</v>
      </c>
      <c r="E30" s="88">
        <v>1078.95</v>
      </c>
      <c r="F30" s="89">
        <f>ROUND(E30*0.2,2)</f>
        <v>215.79</v>
      </c>
      <c r="G30" s="91">
        <f t="shared" si="8"/>
        <v>1294.74</v>
      </c>
      <c r="H30" s="90"/>
      <c r="I30" s="88">
        <f>MROUND((E30*(1+Sheet1!$C$3)),0.01)+0.03</f>
        <v>1108.6500000000001</v>
      </c>
      <c r="J30" s="89">
        <f>ROUND(I30*0.2,2)</f>
        <v>221.73</v>
      </c>
      <c r="K30" s="91">
        <f t="shared" si="10"/>
        <v>1330.38</v>
      </c>
      <c r="L30" s="9">
        <f t="shared" si="4"/>
        <v>35.6400000000001</v>
      </c>
      <c r="M30" s="8">
        <f t="shared" si="5"/>
        <v>2.7526762129848541E-2</v>
      </c>
    </row>
    <row r="31" spans="1:13" ht="16" thickBot="1" x14ac:dyDescent="0.4">
      <c r="A31" s="80">
        <f t="shared" si="6"/>
        <v>29</v>
      </c>
      <c r="B31" s="533"/>
      <c r="C31" s="86" t="s">
        <v>203</v>
      </c>
      <c r="D31" s="87" t="s">
        <v>191</v>
      </c>
      <c r="E31" s="88">
        <v>1366.67</v>
      </c>
      <c r="F31" s="89">
        <f t="shared" si="7"/>
        <v>273.33</v>
      </c>
      <c r="G31" s="91">
        <f t="shared" si="8"/>
        <v>1640</v>
      </c>
      <c r="H31" s="90"/>
      <c r="I31" s="88">
        <f>MROUND((E31*(1+Sheet1!$C$3)),0.01)+0.04</f>
        <v>1404.29</v>
      </c>
      <c r="J31" s="89">
        <f t="shared" ref="J31" si="12">ROUND(I31*0.2,2)</f>
        <v>280.86</v>
      </c>
      <c r="K31" s="91">
        <f t="shared" si="10"/>
        <v>1685.15</v>
      </c>
      <c r="L31" s="9">
        <f t="shared" si="4"/>
        <v>45.150000000000091</v>
      </c>
      <c r="M31" s="8">
        <f t="shared" si="5"/>
        <v>2.7530487804878104E-2</v>
      </c>
    </row>
    <row r="32" spans="1:13" ht="16" thickBot="1" x14ac:dyDescent="0.4">
      <c r="A32" s="80">
        <f t="shared" si="6"/>
        <v>30</v>
      </c>
      <c r="B32" s="533"/>
      <c r="C32" s="86" t="s">
        <v>204</v>
      </c>
      <c r="D32" s="87" t="s">
        <v>191</v>
      </c>
      <c r="E32" s="88">
        <v>1618.4250000000002</v>
      </c>
      <c r="F32" s="89">
        <f>ROUND(E32*0.2,2)</f>
        <v>323.69</v>
      </c>
      <c r="G32" s="91">
        <f t="shared" si="8"/>
        <v>1942.1150000000002</v>
      </c>
      <c r="H32" s="90"/>
      <c r="I32" s="88">
        <f>MROUND((E32*(1+Sheet1!$C$3)),0.01)+0.05</f>
        <v>1662.98</v>
      </c>
      <c r="J32" s="89">
        <f>ROUND(I32*0.2,2)</f>
        <v>332.6</v>
      </c>
      <c r="K32" s="91">
        <f t="shared" si="10"/>
        <v>1995.58</v>
      </c>
      <c r="L32" s="9">
        <f t="shared" si="4"/>
        <v>53.464999999999691</v>
      </c>
      <c r="M32" s="8">
        <f t="shared" si="5"/>
        <v>2.7529265774683623E-2</v>
      </c>
    </row>
    <row r="33" spans="1:13" ht="16" thickBot="1" x14ac:dyDescent="0.4">
      <c r="A33" s="80">
        <f t="shared" si="6"/>
        <v>31</v>
      </c>
      <c r="B33" s="533" t="s">
        <v>197</v>
      </c>
      <c r="C33" s="86" t="s">
        <v>200</v>
      </c>
      <c r="D33" s="87" t="s">
        <v>191</v>
      </c>
      <c r="E33" s="88">
        <v>755.2650000000001</v>
      </c>
      <c r="F33" s="89">
        <f t="shared" si="7"/>
        <v>151.05000000000001</v>
      </c>
      <c r="G33" s="91">
        <f t="shared" si="8"/>
        <v>906.31500000000005</v>
      </c>
      <c r="H33" s="90"/>
      <c r="I33" s="88">
        <f>MROUND((E33*(1+Sheet1!$C$3)),0.01)+0.03</f>
        <v>776.06</v>
      </c>
      <c r="J33" s="89">
        <f t="shared" ref="J33" si="13">ROUND(I33*0.2,2)</f>
        <v>155.21</v>
      </c>
      <c r="K33" s="91">
        <f t="shared" si="10"/>
        <v>931.27</v>
      </c>
      <c r="L33" s="9">
        <f t="shared" si="4"/>
        <v>24.954999999999927</v>
      </c>
      <c r="M33" s="8">
        <f t="shared" si="5"/>
        <v>2.7534576830351397E-2</v>
      </c>
    </row>
    <row r="34" spans="1:13" ht="16" thickBot="1" x14ac:dyDescent="0.4">
      <c r="A34" s="80">
        <f t="shared" si="6"/>
        <v>32</v>
      </c>
      <c r="B34" s="533"/>
      <c r="C34" s="86" t="s">
        <v>201</v>
      </c>
      <c r="D34" s="87" t="s">
        <v>191</v>
      </c>
      <c r="E34" s="88">
        <v>1114.9150000000002</v>
      </c>
      <c r="F34" s="89">
        <f>ROUND(E34*0.2,2)</f>
        <v>222.98</v>
      </c>
      <c r="G34" s="91">
        <f t="shared" si="8"/>
        <v>1337.8950000000002</v>
      </c>
      <c r="H34" s="90"/>
      <c r="I34" s="88">
        <f>MROUND((E34*(1+Sheet1!$C$3)),0.01)+0.03</f>
        <v>1145.6099999999999</v>
      </c>
      <c r="J34" s="89">
        <f>ROUND(I34*0.2,2)</f>
        <v>229.12</v>
      </c>
      <c r="K34" s="91">
        <f t="shared" si="10"/>
        <v>1374.73</v>
      </c>
      <c r="L34" s="9">
        <f t="shared" si="4"/>
        <v>36.834999999999809</v>
      </c>
      <c r="M34" s="8">
        <f t="shared" si="5"/>
        <v>2.7532055953568706E-2</v>
      </c>
    </row>
    <row r="35" spans="1:13" ht="16" thickBot="1" x14ac:dyDescent="0.4">
      <c r="A35" s="80">
        <f t="shared" si="6"/>
        <v>33</v>
      </c>
      <c r="B35" s="533"/>
      <c r="C35" s="86" t="s">
        <v>202</v>
      </c>
      <c r="D35" s="87" t="s">
        <v>191</v>
      </c>
      <c r="E35" s="88">
        <v>1474.5650000000001</v>
      </c>
      <c r="F35" s="89">
        <f t="shared" si="7"/>
        <v>294.91000000000003</v>
      </c>
      <c r="G35" s="91">
        <f t="shared" si="8"/>
        <v>1769.4750000000001</v>
      </c>
      <c r="H35" s="90"/>
      <c r="I35" s="88">
        <f>MROUND((E35*(1+Sheet1!$C$3)),0.01)+0.04</f>
        <v>1515.16</v>
      </c>
      <c r="J35" s="89">
        <f t="shared" ref="J35:J37" si="14">ROUND(I35*0.2,2)</f>
        <v>303.02999999999997</v>
      </c>
      <c r="K35" s="91">
        <f t="shared" si="10"/>
        <v>1818.19</v>
      </c>
      <c r="L35" s="9">
        <f t="shared" si="4"/>
        <v>48.714999999999918</v>
      </c>
      <c r="M35" s="8">
        <f t="shared" si="5"/>
        <v>2.7530764774862552E-2</v>
      </c>
    </row>
    <row r="36" spans="1:13" ht="16" thickBot="1" x14ac:dyDescent="0.4">
      <c r="A36" s="80">
        <f t="shared" si="6"/>
        <v>34</v>
      </c>
      <c r="B36" s="533"/>
      <c r="C36" s="86" t="s">
        <v>203</v>
      </c>
      <c r="D36" s="87" t="s">
        <v>191</v>
      </c>
      <c r="E36" s="88">
        <v>1834.2150000000001</v>
      </c>
      <c r="F36" s="89">
        <f t="shared" si="7"/>
        <v>366.84</v>
      </c>
      <c r="G36" s="91">
        <f t="shared" si="8"/>
        <v>2201.0550000000003</v>
      </c>
      <c r="H36" s="90"/>
      <c r="I36" s="88">
        <f>MROUND((E36*(1+Sheet1!$C$3)),0.01)+0.05</f>
        <v>1884.71</v>
      </c>
      <c r="J36" s="89">
        <f t="shared" si="14"/>
        <v>376.94</v>
      </c>
      <c r="K36" s="91">
        <f t="shared" si="10"/>
        <v>2261.65</v>
      </c>
      <c r="L36" s="9">
        <f t="shared" si="4"/>
        <v>60.5949999999998</v>
      </c>
      <c r="M36" s="8">
        <f t="shared" si="5"/>
        <v>2.7529979941437081E-2</v>
      </c>
    </row>
    <row r="37" spans="1:13" ht="16" thickBot="1" x14ac:dyDescent="0.4">
      <c r="A37" s="80">
        <f t="shared" si="6"/>
        <v>35</v>
      </c>
      <c r="B37" s="533"/>
      <c r="C37" s="86" t="s">
        <v>204</v>
      </c>
      <c r="D37" s="87" t="s">
        <v>191</v>
      </c>
      <c r="E37" s="88">
        <v>2229.8300000000004</v>
      </c>
      <c r="F37" s="89">
        <f t="shared" si="7"/>
        <v>445.97</v>
      </c>
      <c r="G37" s="91">
        <f t="shared" si="8"/>
        <v>2675.8</v>
      </c>
      <c r="H37" s="90"/>
      <c r="I37" s="88">
        <f>MROUND((E37*(1+Sheet1!$C$3)),0.01)+0.06</f>
        <v>2291.21</v>
      </c>
      <c r="J37" s="89">
        <f t="shared" si="14"/>
        <v>458.24</v>
      </c>
      <c r="K37" s="91">
        <f t="shared" si="10"/>
        <v>2749.45</v>
      </c>
      <c r="L37" s="9">
        <f t="shared" si="4"/>
        <v>73.649999999999636</v>
      </c>
      <c r="M37" s="8">
        <f t="shared" si="5"/>
        <v>2.752447866058735E-2</v>
      </c>
    </row>
    <row r="38" spans="1:13" ht="16" thickBot="1" x14ac:dyDescent="0.4">
      <c r="A38" s="80">
        <f t="shared" si="6"/>
        <v>36</v>
      </c>
      <c r="B38" s="533" t="s">
        <v>198</v>
      </c>
      <c r="C38" s="86" t="s">
        <v>200</v>
      </c>
      <c r="D38" s="87" t="s">
        <v>191</v>
      </c>
      <c r="E38" s="534" t="s">
        <v>199</v>
      </c>
      <c r="F38" s="535"/>
      <c r="G38" s="535"/>
      <c r="H38" s="535"/>
      <c r="I38" s="535"/>
      <c r="J38" s="535"/>
      <c r="K38" s="536"/>
      <c r="L38" s="9"/>
      <c r="M38" s="8"/>
    </row>
    <row r="39" spans="1:13" ht="16" thickBot="1" x14ac:dyDescent="0.4">
      <c r="A39" s="80">
        <f t="shared" si="6"/>
        <v>37</v>
      </c>
      <c r="B39" s="533"/>
      <c r="C39" s="86" t="s">
        <v>201</v>
      </c>
      <c r="D39" s="87" t="s">
        <v>191</v>
      </c>
      <c r="E39" s="534" t="s">
        <v>199</v>
      </c>
      <c r="F39" s="535"/>
      <c r="G39" s="535"/>
      <c r="H39" s="535"/>
      <c r="I39" s="535"/>
      <c r="J39" s="535"/>
      <c r="K39" s="536"/>
      <c r="L39" s="9"/>
      <c r="M39" s="8"/>
    </row>
    <row r="40" spans="1:13" ht="16" thickBot="1" x14ac:dyDescent="0.4">
      <c r="A40" s="80">
        <f t="shared" si="6"/>
        <v>38</v>
      </c>
      <c r="B40" s="533"/>
      <c r="C40" s="86" t="s">
        <v>202</v>
      </c>
      <c r="D40" s="87" t="s">
        <v>191</v>
      </c>
      <c r="E40" s="534" t="s">
        <v>199</v>
      </c>
      <c r="F40" s="535"/>
      <c r="G40" s="535"/>
      <c r="H40" s="535"/>
      <c r="I40" s="535"/>
      <c r="J40" s="535"/>
      <c r="K40" s="536"/>
      <c r="L40" s="9"/>
      <c r="M40" s="8"/>
    </row>
    <row r="41" spans="1:13" ht="16" thickBot="1" x14ac:dyDescent="0.4">
      <c r="A41" s="80">
        <f t="shared" si="6"/>
        <v>39</v>
      </c>
      <c r="B41" s="533"/>
      <c r="C41" s="86" t="s">
        <v>203</v>
      </c>
      <c r="D41" s="87" t="s">
        <v>191</v>
      </c>
      <c r="E41" s="534" t="s">
        <v>199</v>
      </c>
      <c r="F41" s="535"/>
      <c r="G41" s="535"/>
      <c r="H41" s="535"/>
      <c r="I41" s="535"/>
      <c r="J41" s="535"/>
      <c r="K41" s="536"/>
      <c r="L41" s="9"/>
      <c r="M41" s="8"/>
    </row>
    <row r="42" spans="1:13" ht="16" thickBot="1" x14ac:dyDescent="0.4">
      <c r="A42" s="80">
        <f t="shared" si="6"/>
        <v>40</v>
      </c>
      <c r="B42" s="533"/>
      <c r="C42" s="86" t="s">
        <v>204</v>
      </c>
      <c r="D42" s="87" t="s">
        <v>191</v>
      </c>
      <c r="E42" s="534" t="s">
        <v>199</v>
      </c>
      <c r="F42" s="535"/>
      <c r="G42" s="535"/>
      <c r="H42" s="535"/>
      <c r="I42" s="535"/>
      <c r="J42" s="535"/>
      <c r="K42" s="536"/>
      <c r="L42" s="9"/>
      <c r="M42" s="8"/>
    </row>
    <row r="43" spans="1:13" ht="17" thickBot="1" x14ac:dyDescent="0.4">
      <c r="A43" s="80">
        <f t="shared" si="6"/>
        <v>41</v>
      </c>
      <c r="B43" s="267" t="s">
        <v>205</v>
      </c>
      <c r="C43" s="86" t="s">
        <v>206</v>
      </c>
      <c r="D43" s="87" t="s">
        <v>191</v>
      </c>
      <c r="E43" s="88">
        <v>323.68500000000006</v>
      </c>
      <c r="F43" s="89">
        <f>ROUND(E43*0.2,2)</f>
        <v>64.739999999999995</v>
      </c>
      <c r="G43" s="92">
        <f>SUM(E43+F43)</f>
        <v>388.42500000000007</v>
      </c>
      <c r="H43" s="90"/>
      <c r="I43" s="88">
        <f>MROUND((E43*(1+Sheet1!$C$3)),0.01)+0.01</f>
        <v>332.6</v>
      </c>
      <c r="J43" s="89">
        <f>ROUND(I43*0.2,2)</f>
        <v>66.52</v>
      </c>
      <c r="K43" s="92">
        <f>SUM(I43+J43)</f>
        <v>399.12</v>
      </c>
      <c r="L43" s="9">
        <f t="shared" si="4"/>
        <v>10.694999999999936</v>
      </c>
      <c r="M43" s="8">
        <f t="shared" si="5"/>
        <v>2.7534273025680466E-2</v>
      </c>
    </row>
    <row r="44" spans="1:13" ht="16.5" customHeight="1" thickBot="1" x14ac:dyDescent="0.4">
      <c r="A44" s="80"/>
      <c r="B44" s="267"/>
      <c r="C44" s="266" t="s">
        <v>207</v>
      </c>
      <c r="D44" s="87"/>
      <c r="E44" s="88"/>
      <c r="F44" s="93"/>
      <c r="G44" s="92"/>
      <c r="H44" s="90"/>
      <c r="I44" s="88"/>
      <c r="J44" s="93"/>
      <c r="K44" s="92"/>
      <c r="L44" s="9"/>
      <c r="M44" s="8"/>
    </row>
    <row r="45" spans="1:13" ht="16" thickBot="1" x14ac:dyDescent="0.4">
      <c r="A45" s="80">
        <f>1+A43</f>
        <v>42</v>
      </c>
      <c r="B45" s="533" t="s">
        <v>189</v>
      </c>
      <c r="C45" s="86" t="s">
        <v>208</v>
      </c>
      <c r="D45" s="87" t="s">
        <v>191</v>
      </c>
      <c r="E45" s="88">
        <v>143.86000000000001</v>
      </c>
      <c r="F45" s="89">
        <f t="shared" ref="F45:F59" si="15">ROUND(E45*0.2,2)</f>
        <v>28.77</v>
      </c>
      <c r="G45" s="92">
        <f t="shared" ref="G45:G62" si="16">SUM(E45+F45)</f>
        <v>172.63000000000002</v>
      </c>
      <c r="H45" s="90"/>
      <c r="I45" s="88">
        <f>MROUND((E45*(1+Sheet1!$C$3)),0.01)</f>
        <v>147.82</v>
      </c>
      <c r="J45" s="89">
        <f t="shared" ref="J45:J51" si="17">ROUND(I45*0.2,2)</f>
        <v>29.56</v>
      </c>
      <c r="K45" s="92">
        <f t="shared" ref="K45:K62" si="18">SUM(I45+J45)</f>
        <v>177.38</v>
      </c>
      <c r="L45" s="9">
        <f t="shared" si="4"/>
        <v>4.7499999999999716</v>
      </c>
      <c r="M45" s="8">
        <f t="shared" si="5"/>
        <v>2.7515495568556862E-2</v>
      </c>
    </row>
    <row r="46" spans="1:13" ht="16" thickBot="1" x14ac:dyDescent="0.4">
      <c r="A46" s="80">
        <f t="shared" ref="A46:A96" si="19">1+A45</f>
        <v>43</v>
      </c>
      <c r="B46" s="533"/>
      <c r="C46" s="86" t="s">
        <v>209</v>
      </c>
      <c r="D46" s="87" t="s">
        <v>191</v>
      </c>
      <c r="E46" s="88">
        <v>215.79000000000002</v>
      </c>
      <c r="F46" s="89">
        <f t="shared" si="15"/>
        <v>43.16</v>
      </c>
      <c r="G46" s="92">
        <f t="shared" si="16"/>
        <v>258.95000000000005</v>
      </c>
      <c r="H46" s="90"/>
      <c r="I46" s="88">
        <f>MROUND((E46*(1+Sheet1!$C$3)),0.01)+0.01</f>
        <v>221.73</v>
      </c>
      <c r="J46" s="89">
        <f t="shared" si="17"/>
        <v>44.35</v>
      </c>
      <c r="K46" s="92">
        <f t="shared" si="18"/>
        <v>266.08</v>
      </c>
      <c r="L46" s="9">
        <f t="shared" si="4"/>
        <v>7.1299999999999386</v>
      </c>
      <c r="M46" s="8">
        <f t="shared" si="5"/>
        <v>2.753427302568039E-2</v>
      </c>
    </row>
    <row r="47" spans="1:13" ht="16" thickBot="1" x14ac:dyDescent="0.4">
      <c r="A47" s="80">
        <f t="shared" si="19"/>
        <v>44</v>
      </c>
      <c r="B47" s="533"/>
      <c r="C47" s="86" t="s">
        <v>210</v>
      </c>
      <c r="D47" s="87" t="s">
        <v>191</v>
      </c>
      <c r="E47" s="88">
        <v>215.79000000000002</v>
      </c>
      <c r="F47" s="89">
        <f t="shared" si="15"/>
        <v>43.16</v>
      </c>
      <c r="G47" s="92">
        <f t="shared" si="16"/>
        <v>258.95000000000005</v>
      </c>
      <c r="H47" s="90"/>
      <c r="I47" s="88">
        <f>MROUND((E47*(1+Sheet1!$C$3)),0.01)+0.01</f>
        <v>221.73</v>
      </c>
      <c r="J47" s="89">
        <f t="shared" si="17"/>
        <v>44.35</v>
      </c>
      <c r="K47" s="92">
        <f t="shared" si="18"/>
        <v>266.08</v>
      </c>
      <c r="L47" s="9">
        <f t="shared" si="4"/>
        <v>7.1299999999999386</v>
      </c>
      <c r="M47" s="8">
        <f t="shared" si="5"/>
        <v>2.753427302568039E-2</v>
      </c>
    </row>
    <row r="48" spans="1:13" ht="16" thickBot="1" x14ac:dyDescent="0.4">
      <c r="A48" s="80">
        <f t="shared" si="19"/>
        <v>45</v>
      </c>
      <c r="B48" s="533"/>
      <c r="C48" s="86" t="s">
        <v>211</v>
      </c>
      <c r="D48" s="87" t="s">
        <v>191</v>
      </c>
      <c r="E48" s="88">
        <v>215.79000000000002</v>
      </c>
      <c r="F48" s="89">
        <f t="shared" si="15"/>
        <v>43.16</v>
      </c>
      <c r="G48" s="92">
        <f t="shared" si="16"/>
        <v>258.95000000000005</v>
      </c>
      <c r="H48" s="90"/>
      <c r="I48" s="88">
        <f>MROUND((E48*(1+Sheet1!$C$3)),0.01)+0.01</f>
        <v>221.73</v>
      </c>
      <c r="J48" s="89">
        <f t="shared" si="17"/>
        <v>44.35</v>
      </c>
      <c r="K48" s="92">
        <f t="shared" si="18"/>
        <v>266.08</v>
      </c>
      <c r="L48" s="9">
        <f t="shared" si="4"/>
        <v>7.1299999999999386</v>
      </c>
      <c r="M48" s="8">
        <f t="shared" si="5"/>
        <v>2.753427302568039E-2</v>
      </c>
    </row>
    <row r="49" spans="1:13" ht="16" thickBot="1" x14ac:dyDescent="0.4">
      <c r="A49" s="80">
        <f t="shared" si="19"/>
        <v>46</v>
      </c>
      <c r="B49" s="533"/>
      <c r="C49" s="86" t="s">
        <v>212</v>
      </c>
      <c r="D49" s="87" t="s">
        <v>191</v>
      </c>
      <c r="E49" s="88">
        <v>107.89500000000001</v>
      </c>
      <c r="F49" s="89">
        <f t="shared" si="15"/>
        <v>21.58</v>
      </c>
      <c r="G49" s="92">
        <f t="shared" si="16"/>
        <v>129.47500000000002</v>
      </c>
      <c r="H49" s="90"/>
      <c r="I49" s="88">
        <f>MROUND((E49*(1+Sheet1!$C$3)),0.01)+0.01</f>
        <v>110.87</v>
      </c>
      <c r="J49" s="89">
        <f t="shared" si="17"/>
        <v>22.17</v>
      </c>
      <c r="K49" s="92">
        <f t="shared" si="18"/>
        <v>133.04000000000002</v>
      </c>
      <c r="L49" s="9">
        <f t="shared" si="4"/>
        <v>3.5649999999999977</v>
      </c>
      <c r="M49" s="8">
        <f t="shared" si="5"/>
        <v>2.7534273025680612E-2</v>
      </c>
    </row>
    <row r="50" spans="1:13" ht="16" thickBot="1" x14ac:dyDescent="0.4">
      <c r="A50" s="80">
        <f t="shared" si="19"/>
        <v>47</v>
      </c>
      <c r="B50" s="533"/>
      <c r="C50" s="86" t="s">
        <v>213</v>
      </c>
      <c r="D50" s="87" t="s">
        <v>191</v>
      </c>
      <c r="E50" s="88">
        <v>143.86000000000001</v>
      </c>
      <c r="F50" s="89">
        <f t="shared" si="15"/>
        <v>28.77</v>
      </c>
      <c r="G50" s="92">
        <f t="shared" si="16"/>
        <v>172.63000000000002</v>
      </c>
      <c r="H50" s="90"/>
      <c r="I50" s="88">
        <f>MROUND((E50*(1+Sheet1!$C$3)),0.01)</f>
        <v>147.82</v>
      </c>
      <c r="J50" s="89">
        <f t="shared" si="17"/>
        <v>29.56</v>
      </c>
      <c r="K50" s="92">
        <f t="shared" si="18"/>
        <v>177.38</v>
      </c>
      <c r="L50" s="9">
        <f t="shared" si="4"/>
        <v>4.7499999999999716</v>
      </c>
      <c r="M50" s="8">
        <f t="shared" si="5"/>
        <v>2.7515495568556862E-2</v>
      </c>
    </row>
    <row r="51" spans="1:13" ht="16" thickBot="1" x14ac:dyDescent="0.4">
      <c r="A51" s="80">
        <f t="shared" si="19"/>
        <v>48</v>
      </c>
      <c r="B51" s="533" t="s">
        <v>196</v>
      </c>
      <c r="C51" s="86" t="s">
        <v>208</v>
      </c>
      <c r="D51" s="87" t="s">
        <v>191</v>
      </c>
      <c r="E51" s="88">
        <v>539.47500000000002</v>
      </c>
      <c r="F51" s="89">
        <f t="shared" si="15"/>
        <v>107.9</v>
      </c>
      <c r="G51" s="92">
        <f t="shared" si="16"/>
        <v>647.375</v>
      </c>
      <c r="H51" s="90"/>
      <c r="I51" s="88">
        <f>MROUND((E51*(1+Sheet1!$C$3)),0.01)+0.02</f>
        <v>554.33000000000004</v>
      </c>
      <c r="J51" s="89">
        <f t="shared" si="17"/>
        <v>110.87</v>
      </c>
      <c r="K51" s="92">
        <f t="shared" si="18"/>
        <v>665.2</v>
      </c>
      <c r="L51" s="9">
        <f t="shared" si="4"/>
        <v>17.825000000000045</v>
      </c>
      <c r="M51" s="8">
        <f t="shared" si="5"/>
        <v>2.7534273025680702E-2</v>
      </c>
    </row>
    <row r="52" spans="1:13" ht="16" thickBot="1" x14ac:dyDescent="0.4">
      <c r="A52" s="80">
        <f t="shared" si="19"/>
        <v>49</v>
      </c>
      <c r="B52" s="533"/>
      <c r="C52" s="86" t="s">
        <v>209</v>
      </c>
      <c r="D52" s="87" t="s">
        <v>191</v>
      </c>
      <c r="E52" s="88">
        <v>611.40500000000009</v>
      </c>
      <c r="F52" s="89">
        <f>ROUND(E52*0.2,2)+0.01</f>
        <v>122.29</v>
      </c>
      <c r="G52" s="92">
        <f t="shared" si="16"/>
        <v>733.69500000000005</v>
      </c>
      <c r="H52" s="90"/>
      <c r="I52" s="88">
        <f>MROUND((E52*(1+Sheet1!$C$3)),0.01)+0.02</f>
        <v>628.24</v>
      </c>
      <c r="J52" s="89">
        <f>ROUND(I52*0.2,2)+0.01</f>
        <v>125.66000000000001</v>
      </c>
      <c r="K52" s="92">
        <f t="shared" si="18"/>
        <v>753.9</v>
      </c>
      <c r="L52" s="9">
        <f t="shared" si="4"/>
        <v>20.204999999999927</v>
      </c>
      <c r="M52" s="8">
        <f t="shared" si="5"/>
        <v>2.7538691145503138E-2</v>
      </c>
    </row>
    <row r="53" spans="1:13" ht="16" thickBot="1" x14ac:dyDescent="0.4">
      <c r="A53" s="80">
        <f t="shared" si="19"/>
        <v>50</v>
      </c>
      <c r="B53" s="533"/>
      <c r="C53" s="86" t="s">
        <v>210</v>
      </c>
      <c r="D53" s="87" t="s">
        <v>191</v>
      </c>
      <c r="E53" s="88">
        <v>611.40500000000009</v>
      </c>
      <c r="F53" s="89">
        <f>ROUND(E53*0.2,2)+0.01</f>
        <v>122.29</v>
      </c>
      <c r="G53" s="92">
        <f t="shared" si="16"/>
        <v>733.69500000000005</v>
      </c>
      <c r="H53" s="90"/>
      <c r="I53" s="88">
        <f>MROUND((E53*(1+Sheet1!$C$3)),0.01)+0.02</f>
        <v>628.24</v>
      </c>
      <c r="J53" s="89">
        <f>ROUND(I53*0.2,2)+0.01</f>
        <v>125.66000000000001</v>
      </c>
      <c r="K53" s="92">
        <f t="shared" si="18"/>
        <v>753.9</v>
      </c>
      <c r="L53" s="9">
        <f t="shared" si="4"/>
        <v>20.204999999999927</v>
      </c>
      <c r="M53" s="8">
        <f t="shared" si="5"/>
        <v>2.7538691145503138E-2</v>
      </c>
    </row>
    <row r="54" spans="1:13" ht="16" thickBot="1" x14ac:dyDescent="0.4">
      <c r="A54" s="80">
        <f t="shared" si="19"/>
        <v>51</v>
      </c>
      <c r="B54" s="533"/>
      <c r="C54" s="86" t="s">
        <v>211</v>
      </c>
      <c r="D54" s="87" t="s">
        <v>191</v>
      </c>
      <c r="E54" s="88">
        <v>683.33500000000004</v>
      </c>
      <c r="F54" s="89">
        <f t="shared" si="15"/>
        <v>136.66999999999999</v>
      </c>
      <c r="G54" s="92">
        <f t="shared" si="16"/>
        <v>820.005</v>
      </c>
      <c r="H54" s="90"/>
      <c r="I54" s="88">
        <f>MROUND((E54*(1+Sheet1!$C$3)),0.01)+0.02</f>
        <v>702.15</v>
      </c>
      <c r="J54" s="89">
        <f t="shared" ref="J54:J55" si="20">ROUND(I54*0.2,2)</f>
        <v>140.43</v>
      </c>
      <c r="K54" s="92">
        <f t="shared" si="18"/>
        <v>842.57999999999993</v>
      </c>
      <c r="L54" s="9">
        <f t="shared" si="4"/>
        <v>22.574999999999932</v>
      </c>
      <c r="M54" s="8">
        <f t="shared" si="5"/>
        <v>2.7530319937073472E-2</v>
      </c>
    </row>
    <row r="55" spans="1:13" ht="16" thickBot="1" x14ac:dyDescent="0.4">
      <c r="A55" s="80">
        <f t="shared" si="19"/>
        <v>52</v>
      </c>
      <c r="B55" s="533"/>
      <c r="C55" s="86" t="s">
        <v>212</v>
      </c>
      <c r="D55" s="87" t="s">
        <v>191</v>
      </c>
      <c r="E55" s="88">
        <v>323.68500000000006</v>
      </c>
      <c r="F55" s="89">
        <f t="shared" si="15"/>
        <v>64.739999999999995</v>
      </c>
      <c r="G55" s="92">
        <f t="shared" si="16"/>
        <v>388.42500000000007</v>
      </c>
      <c r="H55" s="90"/>
      <c r="I55" s="88">
        <f>MROUND((E55*(1+Sheet1!$C$3)),0.01)+0.01</f>
        <v>332.6</v>
      </c>
      <c r="J55" s="89">
        <f t="shared" si="20"/>
        <v>66.52</v>
      </c>
      <c r="K55" s="92">
        <f t="shared" si="18"/>
        <v>399.12</v>
      </c>
      <c r="L55" s="9">
        <f t="shared" si="4"/>
        <v>10.694999999999936</v>
      </c>
      <c r="M55" s="8">
        <f t="shared" si="5"/>
        <v>2.7534273025680466E-2</v>
      </c>
    </row>
    <row r="56" spans="1:13" ht="16" thickBot="1" x14ac:dyDescent="0.4">
      <c r="A56" s="80">
        <f t="shared" si="19"/>
        <v>53</v>
      </c>
      <c r="B56" s="533"/>
      <c r="C56" s="86" t="s">
        <v>213</v>
      </c>
      <c r="D56" s="87" t="s">
        <v>191</v>
      </c>
      <c r="E56" s="88">
        <v>431.58000000000004</v>
      </c>
      <c r="F56" s="89">
        <f>ROUND(E56*0.2,2)</f>
        <v>86.32</v>
      </c>
      <c r="G56" s="92">
        <f t="shared" si="16"/>
        <v>517.90000000000009</v>
      </c>
      <c r="H56" s="90"/>
      <c r="I56" s="88">
        <f>MROUND((E56*(1+Sheet1!$C$3)),0.01)+0.01</f>
        <v>443.46</v>
      </c>
      <c r="J56" s="89">
        <f>ROUND(I56*0.2,2)</f>
        <v>88.69</v>
      </c>
      <c r="K56" s="92">
        <f t="shared" si="18"/>
        <v>532.15</v>
      </c>
      <c r="L56" s="9">
        <f t="shared" si="4"/>
        <v>14.249999999999886</v>
      </c>
      <c r="M56" s="8">
        <f t="shared" si="5"/>
        <v>2.7514964278818079E-2</v>
      </c>
    </row>
    <row r="57" spans="1:13" ht="16" thickBot="1" x14ac:dyDescent="0.4">
      <c r="A57" s="80">
        <f t="shared" si="19"/>
        <v>54</v>
      </c>
      <c r="B57" s="533" t="s">
        <v>197</v>
      </c>
      <c r="C57" s="86" t="s">
        <v>208</v>
      </c>
      <c r="D57" s="87" t="s">
        <v>191</v>
      </c>
      <c r="E57" s="88">
        <v>719.30000000000007</v>
      </c>
      <c r="F57" s="89">
        <f t="shared" si="15"/>
        <v>143.86000000000001</v>
      </c>
      <c r="G57" s="92">
        <f t="shared" si="16"/>
        <v>863.16000000000008</v>
      </c>
      <c r="H57" s="90"/>
      <c r="I57" s="88">
        <f>MROUND((E57*(1+Sheet1!$C$3)),0.01)+0.02</f>
        <v>739.1</v>
      </c>
      <c r="J57" s="89">
        <f t="shared" ref="J57:J59" si="21">ROUND(I57*0.2,2)</f>
        <v>147.82</v>
      </c>
      <c r="K57" s="92">
        <f t="shared" si="18"/>
        <v>886.92000000000007</v>
      </c>
      <c r="L57" s="9">
        <f t="shared" si="4"/>
        <v>23.759999999999991</v>
      </c>
      <c r="M57" s="8">
        <f t="shared" si="5"/>
        <v>2.7526762129848451E-2</v>
      </c>
    </row>
    <row r="58" spans="1:13" ht="16" thickBot="1" x14ac:dyDescent="0.4">
      <c r="A58" s="80">
        <f t="shared" si="19"/>
        <v>55</v>
      </c>
      <c r="B58" s="533"/>
      <c r="C58" s="86" t="s">
        <v>209</v>
      </c>
      <c r="D58" s="87" t="s">
        <v>191</v>
      </c>
      <c r="E58" s="88">
        <v>863.16000000000008</v>
      </c>
      <c r="F58" s="89">
        <f t="shared" si="15"/>
        <v>172.63</v>
      </c>
      <c r="G58" s="92">
        <f t="shared" si="16"/>
        <v>1035.79</v>
      </c>
      <c r="H58" s="90"/>
      <c r="I58" s="88">
        <f>MROUND((E58*(1+Sheet1!$C$3)),0.01)+0.02</f>
        <v>886.92</v>
      </c>
      <c r="J58" s="89">
        <f t="shared" si="21"/>
        <v>177.38</v>
      </c>
      <c r="K58" s="92">
        <f t="shared" si="18"/>
        <v>1064.3</v>
      </c>
      <c r="L58" s="9">
        <f t="shared" si="4"/>
        <v>28.509999999999991</v>
      </c>
      <c r="M58" s="8">
        <f t="shared" si="5"/>
        <v>2.7524884387761989E-2</v>
      </c>
    </row>
    <row r="59" spans="1:13" ht="16" thickBot="1" x14ac:dyDescent="0.4">
      <c r="A59" s="80">
        <f t="shared" si="19"/>
        <v>56</v>
      </c>
      <c r="B59" s="533"/>
      <c r="C59" s="86" t="s">
        <v>210</v>
      </c>
      <c r="D59" s="87" t="s">
        <v>191</v>
      </c>
      <c r="E59" s="88">
        <v>863.16000000000008</v>
      </c>
      <c r="F59" s="89">
        <f t="shared" si="15"/>
        <v>172.63</v>
      </c>
      <c r="G59" s="92">
        <f t="shared" si="16"/>
        <v>1035.79</v>
      </c>
      <c r="H59" s="90"/>
      <c r="I59" s="88">
        <f>MROUND((E59*(1+Sheet1!$C$3)),0.01)+0.02</f>
        <v>886.92</v>
      </c>
      <c r="J59" s="89">
        <f t="shared" si="21"/>
        <v>177.38</v>
      </c>
      <c r="K59" s="92">
        <f t="shared" si="18"/>
        <v>1064.3</v>
      </c>
      <c r="L59" s="9">
        <f t="shared" si="4"/>
        <v>28.509999999999991</v>
      </c>
      <c r="M59" s="8">
        <f t="shared" si="5"/>
        <v>2.7524884387761989E-2</v>
      </c>
    </row>
    <row r="60" spans="1:13" ht="16" thickBot="1" x14ac:dyDescent="0.4">
      <c r="A60" s="80">
        <f t="shared" si="19"/>
        <v>57</v>
      </c>
      <c r="B60" s="533"/>
      <c r="C60" s="86" t="s">
        <v>211</v>
      </c>
      <c r="D60" s="87" t="s">
        <v>191</v>
      </c>
      <c r="E60" s="88">
        <v>935.09000000000015</v>
      </c>
      <c r="F60" s="89">
        <f>ROUND(E60*0.2,2)-0.01</f>
        <v>187.01000000000002</v>
      </c>
      <c r="G60" s="92">
        <f t="shared" si="16"/>
        <v>1122.1000000000001</v>
      </c>
      <c r="H60" s="90"/>
      <c r="I60" s="88">
        <f>MROUND((E60*(1+Sheet1!$C$3)),0.01)+0.03</f>
        <v>960.83</v>
      </c>
      <c r="J60" s="89">
        <f>ROUND(I60*0.2,2)-0.01</f>
        <v>192.16</v>
      </c>
      <c r="K60" s="92">
        <f t="shared" si="18"/>
        <v>1152.99</v>
      </c>
      <c r="L60" s="9">
        <f t="shared" si="4"/>
        <v>30.889999999999873</v>
      </c>
      <c r="M60" s="8">
        <f t="shared" si="5"/>
        <v>2.7528740753943383E-2</v>
      </c>
    </row>
    <row r="61" spans="1:13" ht="16" thickBot="1" x14ac:dyDescent="0.4">
      <c r="A61" s="80">
        <f t="shared" si="19"/>
        <v>58</v>
      </c>
      <c r="B61" s="533"/>
      <c r="C61" s="86" t="s">
        <v>212</v>
      </c>
      <c r="D61" s="87" t="s">
        <v>191</v>
      </c>
      <c r="E61" s="88">
        <v>467.54500000000007</v>
      </c>
      <c r="F61" s="89">
        <f>ROUND(E61*0.2,2)+0.01</f>
        <v>93.52000000000001</v>
      </c>
      <c r="G61" s="92">
        <f t="shared" si="16"/>
        <v>561.06500000000005</v>
      </c>
      <c r="H61" s="90"/>
      <c r="I61" s="88">
        <f>MROUND((E61*(1+Sheet1!$C$3)),0.01)+0.02</f>
        <v>480.42</v>
      </c>
      <c r="J61" s="89">
        <f>ROUND(I61*0.2,2)+0.01</f>
        <v>96.09</v>
      </c>
      <c r="K61" s="92">
        <f t="shared" si="18"/>
        <v>576.51</v>
      </c>
      <c r="L61" s="9">
        <f t="shared" si="4"/>
        <v>15.444999999999936</v>
      </c>
      <c r="M61" s="8">
        <f t="shared" si="5"/>
        <v>2.7528004776630043E-2</v>
      </c>
    </row>
    <row r="62" spans="1:13" ht="16" thickBot="1" x14ac:dyDescent="0.4">
      <c r="A62" s="80">
        <f t="shared" si="19"/>
        <v>59</v>
      </c>
      <c r="B62" s="533"/>
      <c r="C62" s="86" t="s">
        <v>213</v>
      </c>
      <c r="D62" s="87" t="s">
        <v>191</v>
      </c>
      <c r="E62" s="88">
        <v>611.40500000000009</v>
      </c>
      <c r="F62" s="89">
        <f>ROUND(E62*0.2,2)+0.01</f>
        <v>122.29</v>
      </c>
      <c r="G62" s="92">
        <f t="shared" si="16"/>
        <v>733.69500000000005</v>
      </c>
      <c r="H62" s="90"/>
      <c r="I62" s="88">
        <f>MROUND((E62*(1+Sheet1!$C$3)),0.01)+0.02</f>
        <v>628.24</v>
      </c>
      <c r="J62" s="89">
        <f>ROUND(I62*0.2,2)+0.01</f>
        <v>125.66000000000001</v>
      </c>
      <c r="K62" s="92">
        <f t="shared" si="18"/>
        <v>753.9</v>
      </c>
      <c r="L62" s="9">
        <f t="shared" si="4"/>
        <v>20.204999999999927</v>
      </c>
      <c r="M62" s="8">
        <f t="shared" si="5"/>
        <v>2.7538691145503138E-2</v>
      </c>
    </row>
    <row r="63" spans="1:13" ht="16" thickBot="1" x14ac:dyDescent="0.4">
      <c r="A63" s="80">
        <f t="shared" si="19"/>
        <v>60</v>
      </c>
      <c r="B63" s="533" t="s">
        <v>198</v>
      </c>
      <c r="C63" s="86" t="s">
        <v>208</v>
      </c>
      <c r="D63" s="87" t="s">
        <v>191</v>
      </c>
      <c r="E63" s="534" t="s">
        <v>199</v>
      </c>
      <c r="F63" s="535"/>
      <c r="G63" s="535"/>
      <c r="H63" s="535"/>
      <c r="I63" s="535"/>
      <c r="J63" s="535"/>
      <c r="K63" s="536"/>
      <c r="L63" s="9"/>
      <c r="M63" s="8"/>
    </row>
    <row r="64" spans="1:13" ht="16" thickBot="1" x14ac:dyDescent="0.4">
      <c r="A64" s="80">
        <f t="shared" si="19"/>
        <v>61</v>
      </c>
      <c r="B64" s="533"/>
      <c r="C64" s="86" t="s">
        <v>209</v>
      </c>
      <c r="D64" s="87" t="s">
        <v>191</v>
      </c>
      <c r="E64" s="534" t="s">
        <v>199</v>
      </c>
      <c r="F64" s="535"/>
      <c r="G64" s="535"/>
      <c r="H64" s="535"/>
      <c r="I64" s="535"/>
      <c r="J64" s="535"/>
      <c r="K64" s="536"/>
      <c r="L64" s="9"/>
      <c r="M64" s="8"/>
    </row>
    <row r="65" spans="1:13" ht="16" thickBot="1" x14ac:dyDescent="0.4">
      <c r="A65" s="80">
        <f t="shared" si="19"/>
        <v>62</v>
      </c>
      <c r="B65" s="533"/>
      <c r="C65" s="86" t="s">
        <v>210</v>
      </c>
      <c r="D65" s="87" t="s">
        <v>191</v>
      </c>
      <c r="E65" s="534" t="s">
        <v>199</v>
      </c>
      <c r="F65" s="535"/>
      <c r="G65" s="535"/>
      <c r="H65" s="535"/>
      <c r="I65" s="535"/>
      <c r="J65" s="535"/>
      <c r="K65" s="536"/>
      <c r="L65" s="9"/>
      <c r="M65" s="8"/>
    </row>
    <row r="66" spans="1:13" ht="16" thickBot="1" x14ac:dyDescent="0.4">
      <c r="A66" s="80">
        <f t="shared" si="19"/>
        <v>63</v>
      </c>
      <c r="B66" s="533"/>
      <c r="C66" s="86" t="s">
        <v>211</v>
      </c>
      <c r="D66" s="87" t="s">
        <v>191</v>
      </c>
      <c r="E66" s="534" t="s">
        <v>199</v>
      </c>
      <c r="F66" s="535"/>
      <c r="G66" s="535"/>
      <c r="H66" s="535"/>
      <c r="I66" s="535"/>
      <c r="J66" s="535"/>
      <c r="K66" s="536"/>
      <c r="L66" s="9"/>
      <c r="M66" s="8"/>
    </row>
    <row r="67" spans="1:13" ht="16" thickBot="1" x14ac:dyDescent="0.4">
      <c r="A67" s="80">
        <f t="shared" si="19"/>
        <v>64</v>
      </c>
      <c r="B67" s="533"/>
      <c r="C67" s="86" t="s">
        <v>212</v>
      </c>
      <c r="D67" s="87" t="s">
        <v>191</v>
      </c>
      <c r="E67" s="534" t="s">
        <v>199</v>
      </c>
      <c r="F67" s="535"/>
      <c r="G67" s="535"/>
      <c r="H67" s="535"/>
      <c r="I67" s="535"/>
      <c r="J67" s="535"/>
      <c r="K67" s="536"/>
      <c r="L67" s="9"/>
      <c r="M67" s="8"/>
    </row>
    <row r="68" spans="1:13" ht="16" thickBot="1" x14ac:dyDescent="0.4">
      <c r="A68" s="80">
        <f t="shared" si="19"/>
        <v>65</v>
      </c>
      <c r="B68" s="533"/>
      <c r="C68" s="86" t="s">
        <v>213</v>
      </c>
      <c r="D68" s="87" t="s">
        <v>191</v>
      </c>
      <c r="E68" s="534" t="s">
        <v>199</v>
      </c>
      <c r="F68" s="535"/>
      <c r="G68" s="535"/>
      <c r="H68" s="535"/>
      <c r="I68" s="535"/>
      <c r="J68" s="535"/>
      <c r="K68" s="536"/>
      <c r="L68" s="9"/>
      <c r="M68" s="8"/>
    </row>
    <row r="69" spans="1:13" ht="16" thickBot="1" x14ac:dyDescent="0.4">
      <c r="A69" s="80">
        <f t="shared" si="19"/>
        <v>66</v>
      </c>
      <c r="B69" s="533" t="s">
        <v>189</v>
      </c>
      <c r="C69" s="86" t="s">
        <v>214</v>
      </c>
      <c r="D69" s="87" t="s">
        <v>191</v>
      </c>
      <c r="E69" s="88">
        <v>179.82500000000002</v>
      </c>
      <c r="F69" s="89">
        <f t="shared" ref="F69:F74" si="22">ROUND(E69*0.2,2)</f>
        <v>35.97</v>
      </c>
      <c r="G69" s="91">
        <f t="shared" ref="G69:G74" si="23">SUM(E69+F69)</f>
        <v>215.79500000000002</v>
      </c>
      <c r="H69" s="90"/>
      <c r="I69" s="88">
        <f>MROUND((E69*(1+Sheet1!$C$3)),0.01)+0.01</f>
        <v>184.78</v>
      </c>
      <c r="J69" s="89">
        <f t="shared" ref="J69:J71" si="24">ROUND(I69*0.2,2)</f>
        <v>36.96</v>
      </c>
      <c r="K69" s="91">
        <f t="shared" ref="K69:K74" si="25">SUM(I69+J69)</f>
        <v>221.74</v>
      </c>
      <c r="L69" s="9">
        <f t="shared" ref="L69:L129" si="26">K69-G69</f>
        <v>5.9449999999999932</v>
      </c>
      <c r="M69" s="8">
        <f t="shared" ref="M69:M129" si="27">IF(G69="","NEW",L69/G69)</f>
        <v>2.7549294469287947E-2</v>
      </c>
    </row>
    <row r="70" spans="1:13" ht="16" thickBot="1" x14ac:dyDescent="0.4">
      <c r="A70" s="80">
        <f t="shared" si="19"/>
        <v>67</v>
      </c>
      <c r="B70" s="533"/>
      <c r="C70" s="86" t="s">
        <v>215</v>
      </c>
      <c r="D70" s="87" t="s">
        <v>191</v>
      </c>
      <c r="E70" s="88">
        <v>107.89500000000001</v>
      </c>
      <c r="F70" s="89">
        <f t="shared" si="22"/>
        <v>21.58</v>
      </c>
      <c r="G70" s="91">
        <f t="shared" si="23"/>
        <v>129.47500000000002</v>
      </c>
      <c r="H70" s="90"/>
      <c r="I70" s="88">
        <f>MROUND((E70*(1+Sheet1!$C$3)),0.01)+0.01</f>
        <v>110.87</v>
      </c>
      <c r="J70" s="89">
        <f t="shared" si="24"/>
        <v>22.17</v>
      </c>
      <c r="K70" s="91">
        <f t="shared" si="25"/>
        <v>133.04000000000002</v>
      </c>
      <c r="L70" s="9">
        <f t="shared" si="26"/>
        <v>3.5649999999999977</v>
      </c>
      <c r="M70" s="8">
        <f t="shared" si="27"/>
        <v>2.7534273025680612E-2</v>
      </c>
    </row>
    <row r="71" spans="1:13" ht="16" thickBot="1" x14ac:dyDescent="0.4">
      <c r="A71" s="80">
        <f t="shared" si="19"/>
        <v>68</v>
      </c>
      <c r="B71" s="533" t="s">
        <v>196</v>
      </c>
      <c r="C71" s="86" t="s">
        <v>214</v>
      </c>
      <c r="D71" s="87" t="s">
        <v>191</v>
      </c>
      <c r="E71" s="88">
        <v>575.44000000000005</v>
      </c>
      <c r="F71" s="89">
        <f t="shared" si="22"/>
        <v>115.09</v>
      </c>
      <c r="G71" s="91">
        <f t="shared" si="23"/>
        <v>690.53000000000009</v>
      </c>
      <c r="H71" s="90"/>
      <c r="I71" s="88">
        <f>MROUND((E71*(1+Sheet1!$C$3)),0.01)+0.02</f>
        <v>591.28</v>
      </c>
      <c r="J71" s="89">
        <f t="shared" si="24"/>
        <v>118.26</v>
      </c>
      <c r="K71" s="91">
        <f t="shared" si="25"/>
        <v>709.54</v>
      </c>
      <c r="L71" s="9">
        <f t="shared" si="26"/>
        <v>19.009999999999877</v>
      </c>
      <c r="M71" s="8">
        <f t="shared" si="27"/>
        <v>2.7529578729381599E-2</v>
      </c>
    </row>
    <row r="72" spans="1:13" ht="16" thickBot="1" x14ac:dyDescent="0.4">
      <c r="A72" s="80">
        <f t="shared" si="19"/>
        <v>69</v>
      </c>
      <c r="B72" s="533"/>
      <c r="C72" s="86" t="s">
        <v>215</v>
      </c>
      <c r="D72" s="87" t="s">
        <v>191</v>
      </c>
      <c r="E72" s="88">
        <v>251.75500000000002</v>
      </c>
      <c r="F72" s="89">
        <f>ROUND(E72*0.2,2)+0.01</f>
        <v>50.36</v>
      </c>
      <c r="G72" s="91">
        <f t="shared" si="23"/>
        <v>302.11500000000001</v>
      </c>
      <c r="H72" s="90"/>
      <c r="I72" s="88">
        <f>MROUND((E72*(1+Sheet1!$C$3)),0.01)+0.01</f>
        <v>258.69</v>
      </c>
      <c r="J72" s="89">
        <f>ROUND(I72*0.2,2)+0.01</f>
        <v>51.75</v>
      </c>
      <c r="K72" s="91">
        <f t="shared" si="25"/>
        <v>310.44</v>
      </c>
      <c r="L72" s="9">
        <f t="shared" si="26"/>
        <v>8.3249999999999886</v>
      </c>
      <c r="M72" s="8">
        <f t="shared" si="27"/>
        <v>2.7555732088774106E-2</v>
      </c>
    </row>
    <row r="73" spans="1:13" ht="16" thickBot="1" x14ac:dyDescent="0.4">
      <c r="A73" s="80">
        <f t="shared" si="19"/>
        <v>70</v>
      </c>
      <c r="B73" s="533" t="s">
        <v>197</v>
      </c>
      <c r="C73" s="86" t="s">
        <v>214</v>
      </c>
      <c r="D73" s="87" t="s">
        <v>191</v>
      </c>
      <c r="E73" s="88">
        <v>791.23</v>
      </c>
      <c r="F73" s="89">
        <f>ROUND(E73*0.2,2)+0.01</f>
        <v>158.26</v>
      </c>
      <c r="G73" s="91">
        <f t="shared" si="23"/>
        <v>949.49</v>
      </c>
      <c r="H73" s="90"/>
      <c r="I73" s="88">
        <f>MROUND((E73*(1+Sheet1!$C$3)),0.01)+0.02</f>
        <v>813.01</v>
      </c>
      <c r="J73" s="89">
        <f>ROUND(I73*0.2,2)+0.01</f>
        <v>162.60999999999999</v>
      </c>
      <c r="K73" s="91">
        <f t="shared" si="25"/>
        <v>975.62</v>
      </c>
      <c r="L73" s="9">
        <f t="shared" si="26"/>
        <v>26.129999999999995</v>
      </c>
      <c r="M73" s="8">
        <f t="shared" si="27"/>
        <v>2.7520037072533671E-2</v>
      </c>
    </row>
    <row r="74" spans="1:13" ht="16" thickBot="1" x14ac:dyDescent="0.4">
      <c r="A74" s="80">
        <f t="shared" si="19"/>
        <v>71</v>
      </c>
      <c r="B74" s="533"/>
      <c r="C74" s="86" t="s">
        <v>215</v>
      </c>
      <c r="D74" s="87" t="s">
        <v>191</v>
      </c>
      <c r="E74" s="88">
        <v>395.61500000000001</v>
      </c>
      <c r="F74" s="89">
        <f t="shared" si="22"/>
        <v>79.12</v>
      </c>
      <c r="G74" s="91">
        <f t="shared" si="23"/>
        <v>474.73500000000001</v>
      </c>
      <c r="H74" s="90"/>
      <c r="I74" s="88">
        <f>MROUND((E74*(1+Sheet1!$C$3)),0.01)+0.02</f>
        <v>406.51</v>
      </c>
      <c r="J74" s="89">
        <f t="shared" ref="J74" si="28">ROUND(I74*0.2,2)</f>
        <v>81.3</v>
      </c>
      <c r="K74" s="91">
        <f t="shared" si="25"/>
        <v>487.81</v>
      </c>
      <c r="L74" s="9">
        <f t="shared" si="26"/>
        <v>13.074999999999989</v>
      </c>
      <c r="M74" s="8">
        <f t="shared" si="27"/>
        <v>2.7541681148430152E-2</v>
      </c>
    </row>
    <row r="75" spans="1:13" ht="16" thickBot="1" x14ac:dyDescent="0.4">
      <c r="A75" s="80">
        <f t="shared" si="19"/>
        <v>72</v>
      </c>
      <c r="B75" s="533" t="s">
        <v>198</v>
      </c>
      <c r="C75" s="86" t="s">
        <v>214</v>
      </c>
      <c r="D75" s="87" t="s">
        <v>191</v>
      </c>
      <c r="E75" s="534" t="s">
        <v>199</v>
      </c>
      <c r="F75" s="535"/>
      <c r="G75" s="535"/>
      <c r="H75" s="535"/>
      <c r="I75" s="535"/>
      <c r="J75" s="535"/>
      <c r="K75" s="536"/>
      <c r="L75" s="9"/>
      <c r="M75" s="8"/>
    </row>
    <row r="76" spans="1:13" ht="16" thickBot="1" x14ac:dyDescent="0.4">
      <c r="A76" s="80">
        <f t="shared" si="19"/>
        <v>73</v>
      </c>
      <c r="B76" s="533"/>
      <c r="C76" s="86" t="s">
        <v>215</v>
      </c>
      <c r="D76" s="87" t="s">
        <v>191</v>
      </c>
      <c r="E76" s="534" t="s">
        <v>199</v>
      </c>
      <c r="F76" s="535"/>
      <c r="G76" s="535"/>
      <c r="H76" s="535"/>
      <c r="I76" s="535"/>
      <c r="J76" s="535"/>
      <c r="K76" s="536"/>
      <c r="L76" s="9"/>
      <c r="M76" s="8"/>
    </row>
    <row r="77" spans="1:13" ht="16" thickBot="1" x14ac:dyDescent="0.4">
      <c r="A77" s="80">
        <f t="shared" si="19"/>
        <v>74</v>
      </c>
      <c r="B77" s="533" t="s">
        <v>189</v>
      </c>
      <c r="C77" s="86" t="s">
        <v>216</v>
      </c>
      <c r="D77" s="87" t="s">
        <v>191</v>
      </c>
      <c r="E77" s="88">
        <v>107.89500000000001</v>
      </c>
      <c r="F77" s="89">
        <f t="shared" ref="F77:F91" si="29">ROUND(E77*0.2,2)</f>
        <v>21.58</v>
      </c>
      <c r="G77" s="91">
        <f t="shared" ref="G77:G91" si="30">SUM(E77+F77)</f>
        <v>129.47500000000002</v>
      </c>
      <c r="H77" s="90"/>
      <c r="I77" s="88">
        <f>MROUND((E77*(1+Sheet1!$C$3)),0.01)+0.01</f>
        <v>110.87</v>
      </c>
      <c r="J77" s="89">
        <f t="shared" ref="J77:J86" si="31">ROUND(I77*0.2,2)</f>
        <v>22.17</v>
      </c>
      <c r="K77" s="91">
        <f t="shared" ref="K77:K91" si="32">SUM(I77+J77)</f>
        <v>133.04000000000002</v>
      </c>
      <c r="L77" s="9">
        <f t="shared" si="26"/>
        <v>3.5649999999999977</v>
      </c>
      <c r="M77" s="8">
        <f t="shared" si="27"/>
        <v>2.7534273025680612E-2</v>
      </c>
    </row>
    <row r="78" spans="1:13" ht="16" thickBot="1" x14ac:dyDescent="0.4">
      <c r="A78" s="80">
        <f t="shared" si="19"/>
        <v>75</v>
      </c>
      <c r="B78" s="533"/>
      <c r="C78" s="86" t="s">
        <v>217</v>
      </c>
      <c r="D78" s="87" t="s">
        <v>191</v>
      </c>
      <c r="E78" s="88">
        <v>107.89500000000001</v>
      </c>
      <c r="F78" s="89">
        <f t="shared" si="29"/>
        <v>21.58</v>
      </c>
      <c r="G78" s="91">
        <f t="shared" si="30"/>
        <v>129.47500000000002</v>
      </c>
      <c r="H78" s="90"/>
      <c r="I78" s="88">
        <f>MROUND((E78*(1+Sheet1!$C$3)),0.01)+0.01</f>
        <v>110.87</v>
      </c>
      <c r="J78" s="89">
        <f t="shared" si="31"/>
        <v>22.17</v>
      </c>
      <c r="K78" s="91">
        <f t="shared" si="32"/>
        <v>133.04000000000002</v>
      </c>
      <c r="L78" s="9">
        <f t="shared" si="26"/>
        <v>3.5649999999999977</v>
      </c>
      <c r="M78" s="8">
        <f t="shared" si="27"/>
        <v>2.7534273025680612E-2</v>
      </c>
    </row>
    <row r="79" spans="1:13" ht="16" thickBot="1" x14ac:dyDescent="0.4">
      <c r="A79" s="80">
        <f t="shared" si="19"/>
        <v>76</v>
      </c>
      <c r="B79" s="533"/>
      <c r="C79" s="86" t="s">
        <v>218</v>
      </c>
      <c r="D79" s="87" t="s">
        <v>191</v>
      </c>
      <c r="E79" s="88">
        <v>107.89500000000001</v>
      </c>
      <c r="F79" s="89">
        <f t="shared" si="29"/>
        <v>21.58</v>
      </c>
      <c r="G79" s="91">
        <f t="shared" si="30"/>
        <v>129.47500000000002</v>
      </c>
      <c r="H79" s="90"/>
      <c r="I79" s="88">
        <f>MROUND((E79*(1+Sheet1!$C$3)),0.01)+0.01</f>
        <v>110.87</v>
      </c>
      <c r="J79" s="89">
        <f t="shared" si="31"/>
        <v>22.17</v>
      </c>
      <c r="K79" s="91">
        <f t="shared" si="32"/>
        <v>133.04000000000002</v>
      </c>
      <c r="L79" s="9">
        <f t="shared" si="26"/>
        <v>3.5649999999999977</v>
      </c>
      <c r="M79" s="8">
        <f t="shared" si="27"/>
        <v>2.7534273025680612E-2</v>
      </c>
    </row>
    <row r="80" spans="1:13" ht="16" thickBot="1" x14ac:dyDescent="0.4">
      <c r="A80" s="80">
        <f t="shared" si="19"/>
        <v>77</v>
      </c>
      <c r="B80" s="533"/>
      <c r="C80" s="86" t="s">
        <v>219</v>
      </c>
      <c r="D80" s="87" t="s">
        <v>191</v>
      </c>
      <c r="E80" s="88">
        <v>143.86000000000001</v>
      </c>
      <c r="F80" s="89">
        <f t="shared" si="29"/>
        <v>28.77</v>
      </c>
      <c r="G80" s="91">
        <f t="shared" si="30"/>
        <v>172.63000000000002</v>
      </c>
      <c r="H80" s="90"/>
      <c r="I80" s="88">
        <f>MROUND((E80*(1+Sheet1!$C$3)),0.01)</f>
        <v>147.82</v>
      </c>
      <c r="J80" s="89">
        <f t="shared" si="31"/>
        <v>29.56</v>
      </c>
      <c r="K80" s="91">
        <f t="shared" si="32"/>
        <v>177.38</v>
      </c>
      <c r="L80" s="9">
        <f t="shared" si="26"/>
        <v>4.7499999999999716</v>
      </c>
      <c r="M80" s="8">
        <f t="shared" si="27"/>
        <v>2.7515495568556862E-2</v>
      </c>
    </row>
    <row r="81" spans="1:13" ht="16" thickBot="1" x14ac:dyDescent="0.4">
      <c r="A81" s="80">
        <f t="shared" si="19"/>
        <v>78</v>
      </c>
      <c r="B81" s="533"/>
      <c r="C81" s="86" t="s">
        <v>220</v>
      </c>
      <c r="D81" s="87" t="s">
        <v>191</v>
      </c>
      <c r="E81" s="88">
        <v>143.86000000000001</v>
      </c>
      <c r="F81" s="89">
        <f t="shared" si="29"/>
        <v>28.77</v>
      </c>
      <c r="G81" s="91">
        <f t="shared" si="30"/>
        <v>172.63000000000002</v>
      </c>
      <c r="H81" s="90"/>
      <c r="I81" s="88">
        <f>MROUND((E81*(1+Sheet1!$C$3)),0.01)</f>
        <v>147.82</v>
      </c>
      <c r="J81" s="89">
        <f t="shared" si="31"/>
        <v>29.56</v>
      </c>
      <c r="K81" s="91">
        <f t="shared" si="32"/>
        <v>177.38</v>
      </c>
      <c r="L81" s="9">
        <f t="shared" si="26"/>
        <v>4.7499999999999716</v>
      </c>
      <c r="M81" s="8">
        <f t="shared" si="27"/>
        <v>2.7515495568556862E-2</v>
      </c>
    </row>
    <row r="82" spans="1:13" ht="16" thickBot="1" x14ac:dyDescent="0.4">
      <c r="A82" s="80">
        <f t="shared" si="19"/>
        <v>79</v>
      </c>
      <c r="B82" s="533" t="s">
        <v>196</v>
      </c>
      <c r="C82" s="86" t="s">
        <v>216</v>
      </c>
      <c r="D82" s="87" t="s">
        <v>191</v>
      </c>
      <c r="E82" s="88">
        <v>143.86000000000001</v>
      </c>
      <c r="F82" s="89">
        <f t="shared" si="29"/>
        <v>28.77</v>
      </c>
      <c r="G82" s="91">
        <f t="shared" si="30"/>
        <v>172.63000000000002</v>
      </c>
      <c r="H82" s="90"/>
      <c r="I82" s="88">
        <f>MROUND((E82*(1+Sheet1!$C$3)),0.01)</f>
        <v>147.82</v>
      </c>
      <c r="J82" s="89">
        <f t="shared" si="31"/>
        <v>29.56</v>
      </c>
      <c r="K82" s="91">
        <f t="shared" si="32"/>
        <v>177.38</v>
      </c>
      <c r="L82" s="9">
        <f t="shared" si="26"/>
        <v>4.7499999999999716</v>
      </c>
      <c r="M82" s="8">
        <f t="shared" si="27"/>
        <v>2.7515495568556862E-2</v>
      </c>
    </row>
    <row r="83" spans="1:13" ht="16" thickBot="1" x14ac:dyDescent="0.4">
      <c r="A83" s="80">
        <f t="shared" si="19"/>
        <v>80</v>
      </c>
      <c r="B83" s="533"/>
      <c r="C83" s="86" t="s">
        <v>217</v>
      </c>
      <c r="D83" s="87" t="s">
        <v>191</v>
      </c>
      <c r="E83" s="88">
        <v>143.86000000000001</v>
      </c>
      <c r="F83" s="89">
        <f t="shared" si="29"/>
        <v>28.77</v>
      </c>
      <c r="G83" s="91">
        <f t="shared" si="30"/>
        <v>172.63000000000002</v>
      </c>
      <c r="H83" s="90"/>
      <c r="I83" s="88">
        <f>MROUND((E83*(1+Sheet1!$C$3)),0.01)</f>
        <v>147.82</v>
      </c>
      <c r="J83" s="89">
        <f t="shared" si="31"/>
        <v>29.56</v>
      </c>
      <c r="K83" s="91">
        <f t="shared" si="32"/>
        <v>177.38</v>
      </c>
      <c r="L83" s="9">
        <f t="shared" si="26"/>
        <v>4.7499999999999716</v>
      </c>
      <c r="M83" s="8">
        <f t="shared" si="27"/>
        <v>2.7515495568556862E-2</v>
      </c>
    </row>
    <row r="84" spans="1:13" ht="16" thickBot="1" x14ac:dyDescent="0.4">
      <c r="A84" s="80">
        <f t="shared" si="19"/>
        <v>81</v>
      </c>
      <c r="B84" s="533"/>
      <c r="C84" s="86" t="s">
        <v>221</v>
      </c>
      <c r="D84" s="87" t="s">
        <v>191</v>
      </c>
      <c r="E84" s="88">
        <v>143.86000000000001</v>
      </c>
      <c r="F84" s="89">
        <f t="shared" si="29"/>
        <v>28.77</v>
      </c>
      <c r="G84" s="91">
        <f t="shared" si="30"/>
        <v>172.63000000000002</v>
      </c>
      <c r="H84" s="90"/>
      <c r="I84" s="88">
        <f>MROUND((E84*(1+Sheet1!$C$3)),0.01)</f>
        <v>147.82</v>
      </c>
      <c r="J84" s="89">
        <f t="shared" si="31"/>
        <v>29.56</v>
      </c>
      <c r="K84" s="91">
        <f t="shared" si="32"/>
        <v>177.38</v>
      </c>
      <c r="L84" s="9">
        <f t="shared" si="26"/>
        <v>4.7499999999999716</v>
      </c>
      <c r="M84" s="8">
        <f t="shared" si="27"/>
        <v>2.7515495568556862E-2</v>
      </c>
    </row>
    <row r="85" spans="1:13" ht="16" thickBot="1" x14ac:dyDescent="0.4">
      <c r="A85" s="80">
        <f t="shared" si="19"/>
        <v>82</v>
      </c>
      <c r="B85" s="533"/>
      <c r="C85" s="86" t="s">
        <v>219</v>
      </c>
      <c r="D85" s="87" t="s">
        <v>191</v>
      </c>
      <c r="E85" s="88">
        <v>287.72000000000003</v>
      </c>
      <c r="F85" s="89">
        <f t="shared" si="29"/>
        <v>57.54</v>
      </c>
      <c r="G85" s="91">
        <f t="shared" si="30"/>
        <v>345.26000000000005</v>
      </c>
      <c r="H85" s="90"/>
      <c r="I85" s="88">
        <f>MROUND((E85*(1+Sheet1!$C$3)),0.01)+0.01</f>
        <v>295.64</v>
      </c>
      <c r="J85" s="89">
        <f t="shared" si="31"/>
        <v>59.13</v>
      </c>
      <c r="K85" s="91">
        <f t="shared" si="32"/>
        <v>354.77</v>
      </c>
      <c r="L85" s="9">
        <f t="shared" si="26"/>
        <v>9.5099999999999341</v>
      </c>
      <c r="M85" s="8">
        <f t="shared" si="27"/>
        <v>2.7544459248102685E-2</v>
      </c>
    </row>
    <row r="86" spans="1:13" ht="16" thickBot="1" x14ac:dyDescent="0.4">
      <c r="A86" s="80">
        <f t="shared" si="19"/>
        <v>83</v>
      </c>
      <c r="B86" s="533"/>
      <c r="C86" s="86" t="s">
        <v>220</v>
      </c>
      <c r="D86" s="87" t="s">
        <v>191</v>
      </c>
      <c r="E86" s="88">
        <v>575.44000000000005</v>
      </c>
      <c r="F86" s="89">
        <f t="shared" si="29"/>
        <v>115.09</v>
      </c>
      <c r="G86" s="91">
        <f t="shared" si="30"/>
        <v>690.53000000000009</v>
      </c>
      <c r="H86" s="90"/>
      <c r="I86" s="88">
        <f>MROUND((E86*(1+Sheet1!$C$3)),0.01)+0.02</f>
        <v>591.28</v>
      </c>
      <c r="J86" s="89">
        <f t="shared" si="31"/>
        <v>118.26</v>
      </c>
      <c r="K86" s="91">
        <f t="shared" si="32"/>
        <v>709.54</v>
      </c>
      <c r="L86" s="9">
        <f t="shared" si="26"/>
        <v>19.009999999999877</v>
      </c>
      <c r="M86" s="8">
        <f t="shared" si="27"/>
        <v>2.7529578729381599E-2</v>
      </c>
    </row>
    <row r="87" spans="1:13" ht="16" thickBot="1" x14ac:dyDescent="0.4">
      <c r="A87" s="80">
        <f t="shared" si="19"/>
        <v>84</v>
      </c>
      <c r="B87" s="533" t="s">
        <v>197</v>
      </c>
      <c r="C87" s="86" t="s">
        <v>216</v>
      </c>
      <c r="D87" s="87" t="s">
        <v>191</v>
      </c>
      <c r="E87" s="88">
        <v>251.75500000000002</v>
      </c>
      <c r="F87" s="89">
        <f>ROUND(E87*0.2,2)+0.01</f>
        <v>50.36</v>
      </c>
      <c r="G87" s="91">
        <f t="shared" si="30"/>
        <v>302.11500000000001</v>
      </c>
      <c r="H87" s="90"/>
      <c r="I87" s="88">
        <f>MROUND((E87*(1+Sheet1!$C$3)),0.01)+0.01</f>
        <v>258.69</v>
      </c>
      <c r="J87" s="89">
        <f>ROUND(I87*0.2,2)+0.01</f>
        <v>51.75</v>
      </c>
      <c r="K87" s="91">
        <f t="shared" si="32"/>
        <v>310.44</v>
      </c>
      <c r="L87" s="9">
        <f t="shared" si="26"/>
        <v>8.3249999999999886</v>
      </c>
      <c r="M87" s="8">
        <f t="shared" si="27"/>
        <v>2.7555732088774106E-2</v>
      </c>
    </row>
    <row r="88" spans="1:13" ht="16" thickBot="1" x14ac:dyDescent="0.4">
      <c r="A88" s="80">
        <f t="shared" si="19"/>
        <v>85</v>
      </c>
      <c r="B88" s="533"/>
      <c r="C88" s="86" t="s">
        <v>222</v>
      </c>
      <c r="D88" s="87" t="s">
        <v>191</v>
      </c>
      <c r="E88" s="88">
        <v>251.75500000000002</v>
      </c>
      <c r="F88" s="89">
        <f t="shared" ref="F88:F90" si="33">ROUND(E88*0.2,2)+0.01</f>
        <v>50.36</v>
      </c>
      <c r="G88" s="91">
        <f t="shared" si="30"/>
        <v>302.11500000000001</v>
      </c>
      <c r="H88" s="90"/>
      <c r="I88" s="88">
        <f>MROUND((E88*(1+Sheet1!$C$3)),0.01)+0.01</f>
        <v>258.69</v>
      </c>
      <c r="J88" s="89">
        <f t="shared" ref="J88:J90" si="34">ROUND(I88*0.2,2)+0.01</f>
        <v>51.75</v>
      </c>
      <c r="K88" s="91">
        <f t="shared" si="32"/>
        <v>310.44</v>
      </c>
      <c r="L88" s="9">
        <f t="shared" si="26"/>
        <v>8.3249999999999886</v>
      </c>
      <c r="M88" s="8">
        <f t="shared" si="27"/>
        <v>2.7555732088774106E-2</v>
      </c>
    </row>
    <row r="89" spans="1:13" ht="16" thickBot="1" x14ac:dyDescent="0.4">
      <c r="A89" s="80">
        <f t="shared" si="19"/>
        <v>86</v>
      </c>
      <c r="B89" s="533"/>
      <c r="C89" s="86" t="s">
        <v>218</v>
      </c>
      <c r="D89" s="87" t="s">
        <v>191</v>
      </c>
      <c r="E89" s="88">
        <v>251.75500000000002</v>
      </c>
      <c r="F89" s="89">
        <f t="shared" si="33"/>
        <v>50.36</v>
      </c>
      <c r="G89" s="91">
        <f t="shared" si="30"/>
        <v>302.11500000000001</v>
      </c>
      <c r="H89" s="90"/>
      <c r="I89" s="88">
        <f>MROUND((E89*(1+Sheet1!$C$3)),0.01)+0.01</f>
        <v>258.69</v>
      </c>
      <c r="J89" s="89">
        <f t="shared" si="34"/>
        <v>51.75</v>
      </c>
      <c r="K89" s="91">
        <f t="shared" si="32"/>
        <v>310.44</v>
      </c>
      <c r="L89" s="9">
        <f t="shared" si="26"/>
        <v>8.3249999999999886</v>
      </c>
      <c r="M89" s="8">
        <f t="shared" si="27"/>
        <v>2.7555732088774106E-2</v>
      </c>
    </row>
    <row r="90" spans="1:13" ht="16" thickBot="1" x14ac:dyDescent="0.4">
      <c r="A90" s="80">
        <f t="shared" si="19"/>
        <v>87</v>
      </c>
      <c r="B90" s="533"/>
      <c r="C90" s="86" t="s">
        <v>219</v>
      </c>
      <c r="D90" s="87" t="s">
        <v>191</v>
      </c>
      <c r="E90" s="88">
        <v>467.54500000000007</v>
      </c>
      <c r="F90" s="89">
        <f t="shared" si="33"/>
        <v>93.52000000000001</v>
      </c>
      <c r="G90" s="91">
        <f t="shared" si="30"/>
        <v>561.06500000000005</v>
      </c>
      <c r="H90" s="90"/>
      <c r="I90" s="88">
        <f>MROUND((E90*(1+Sheet1!$C$3)),0.01)+0.02</f>
        <v>480.42</v>
      </c>
      <c r="J90" s="89">
        <f t="shared" si="34"/>
        <v>96.09</v>
      </c>
      <c r="K90" s="91">
        <f t="shared" si="32"/>
        <v>576.51</v>
      </c>
      <c r="L90" s="9">
        <f t="shared" si="26"/>
        <v>15.444999999999936</v>
      </c>
      <c r="M90" s="8">
        <f t="shared" si="27"/>
        <v>2.7528004776630043E-2</v>
      </c>
    </row>
    <row r="91" spans="1:13" ht="16" thickBot="1" x14ac:dyDescent="0.4">
      <c r="A91" s="80">
        <f t="shared" si="19"/>
        <v>88</v>
      </c>
      <c r="B91" s="533"/>
      <c r="C91" s="86" t="s">
        <v>220</v>
      </c>
      <c r="D91" s="87" t="s">
        <v>191</v>
      </c>
      <c r="E91" s="88">
        <v>755.2650000000001</v>
      </c>
      <c r="F91" s="89">
        <f t="shared" si="29"/>
        <v>151.05000000000001</v>
      </c>
      <c r="G91" s="91">
        <f t="shared" si="30"/>
        <v>906.31500000000005</v>
      </c>
      <c r="H91" s="90"/>
      <c r="I91" s="88">
        <f>MROUND((E91*(1+Sheet1!$C$3)),0.01)+0.03</f>
        <v>776.06</v>
      </c>
      <c r="J91" s="89">
        <f t="shared" ref="J91" si="35">ROUND(I91*0.2,2)</f>
        <v>155.21</v>
      </c>
      <c r="K91" s="91">
        <f t="shared" si="32"/>
        <v>931.27</v>
      </c>
      <c r="L91" s="9">
        <f t="shared" si="26"/>
        <v>24.954999999999927</v>
      </c>
      <c r="M91" s="8">
        <f t="shared" si="27"/>
        <v>2.7534576830351397E-2</v>
      </c>
    </row>
    <row r="92" spans="1:13" ht="16" thickBot="1" x14ac:dyDescent="0.4">
      <c r="A92" s="80">
        <f t="shared" si="19"/>
        <v>89</v>
      </c>
      <c r="B92" s="533" t="s">
        <v>198</v>
      </c>
      <c r="C92" s="86" t="s">
        <v>216</v>
      </c>
      <c r="D92" s="87" t="s">
        <v>191</v>
      </c>
      <c r="E92" s="534" t="s">
        <v>199</v>
      </c>
      <c r="F92" s="535"/>
      <c r="G92" s="535"/>
      <c r="H92" s="535"/>
      <c r="I92" s="535"/>
      <c r="J92" s="535"/>
      <c r="K92" s="536"/>
      <c r="L92" s="9"/>
      <c r="M92" s="8"/>
    </row>
    <row r="93" spans="1:13" ht="16" thickBot="1" x14ac:dyDescent="0.4">
      <c r="A93" s="80">
        <f t="shared" si="19"/>
        <v>90</v>
      </c>
      <c r="B93" s="533"/>
      <c r="C93" s="86" t="s">
        <v>217</v>
      </c>
      <c r="D93" s="87" t="s">
        <v>191</v>
      </c>
      <c r="E93" s="534" t="s">
        <v>199</v>
      </c>
      <c r="F93" s="535"/>
      <c r="G93" s="535"/>
      <c r="H93" s="535"/>
      <c r="I93" s="535"/>
      <c r="J93" s="535"/>
      <c r="K93" s="536"/>
      <c r="L93" s="9"/>
      <c r="M93" s="8"/>
    </row>
    <row r="94" spans="1:13" ht="16" thickBot="1" x14ac:dyDescent="0.4">
      <c r="A94" s="80">
        <f t="shared" si="19"/>
        <v>91</v>
      </c>
      <c r="B94" s="533"/>
      <c r="C94" s="86" t="s">
        <v>218</v>
      </c>
      <c r="D94" s="87" t="s">
        <v>191</v>
      </c>
      <c r="E94" s="534" t="s">
        <v>199</v>
      </c>
      <c r="F94" s="535"/>
      <c r="G94" s="535"/>
      <c r="H94" s="535"/>
      <c r="I94" s="535"/>
      <c r="J94" s="535"/>
      <c r="K94" s="536"/>
      <c r="L94" s="9"/>
      <c r="M94" s="8"/>
    </row>
    <row r="95" spans="1:13" ht="16" thickBot="1" x14ac:dyDescent="0.4">
      <c r="A95" s="80">
        <f t="shared" si="19"/>
        <v>92</v>
      </c>
      <c r="B95" s="533"/>
      <c r="C95" s="86" t="s">
        <v>219</v>
      </c>
      <c r="D95" s="87" t="s">
        <v>191</v>
      </c>
      <c r="E95" s="534" t="s">
        <v>199</v>
      </c>
      <c r="F95" s="535"/>
      <c r="G95" s="535"/>
      <c r="H95" s="535"/>
      <c r="I95" s="535"/>
      <c r="J95" s="535"/>
      <c r="K95" s="536"/>
      <c r="L95" s="9"/>
      <c r="M95" s="8"/>
    </row>
    <row r="96" spans="1:13" ht="16" thickBot="1" x14ac:dyDescent="0.4">
      <c r="A96" s="80">
        <f t="shared" si="19"/>
        <v>93</v>
      </c>
      <c r="B96" s="533"/>
      <c r="C96" s="86" t="s">
        <v>220</v>
      </c>
      <c r="D96" s="87" t="s">
        <v>191</v>
      </c>
      <c r="E96" s="534" t="s">
        <v>199</v>
      </c>
      <c r="F96" s="535"/>
      <c r="G96" s="535"/>
      <c r="H96" s="535"/>
      <c r="I96" s="535"/>
      <c r="J96" s="535"/>
      <c r="K96" s="536"/>
      <c r="L96" s="9"/>
      <c r="M96" s="8"/>
    </row>
    <row r="97" spans="1:13" ht="18.5" thickBot="1" x14ac:dyDescent="0.4">
      <c r="A97" s="80"/>
      <c r="B97" s="267"/>
      <c r="C97" s="260" t="s">
        <v>223</v>
      </c>
      <c r="D97" s="87"/>
      <c r="E97" s="88"/>
      <c r="F97" s="91"/>
      <c r="G97" s="91"/>
      <c r="H97" s="90"/>
      <c r="I97" s="88"/>
      <c r="J97" s="91"/>
      <c r="K97" s="91"/>
      <c r="L97" s="9"/>
      <c r="M97" s="8"/>
    </row>
    <row r="98" spans="1:13" ht="16" thickBot="1" x14ac:dyDescent="0.4">
      <c r="A98" s="80">
        <f>A96+1</f>
        <v>94</v>
      </c>
      <c r="B98" s="533" t="s">
        <v>189</v>
      </c>
      <c r="C98" s="86" t="s">
        <v>208</v>
      </c>
      <c r="D98" s="87" t="s">
        <v>191</v>
      </c>
      <c r="E98" s="88">
        <v>215.79000000000002</v>
      </c>
      <c r="F98" s="89">
        <f t="shared" ref="F98" si="36">ROUND(E98*0.2,2)</f>
        <v>43.16</v>
      </c>
      <c r="G98" s="91">
        <f t="shared" ref="G98:G105" si="37">SUM(E98+F98)</f>
        <v>258.95000000000005</v>
      </c>
      <c r="H98" s="90"/>
      <c r="I98" s="88">
        <f>MROUND((E98*(1+Sheet1!$C$3)),0.01)+0.01</f>
        <v>221.73</v>
      </c>
      <c r="J98" s="89">
        <f t="shared" ref="J98" si="38">ROUND(I98*0.2,2)</f>
        <v>44.35</v>
      </c>
      <c r="K98" s="91">
        <f t="shared" ref="K98:K105" si="39">SUM(I98+J98)</f>
        <v>266.08</v>
      </c>
      <c r="L98" s="9">
        <f t="shared" si="26"/>
        <v>7.1299999999999386</v>
      </c>
      <c r="M98" s="8">
        <f t="shared" si="27"/>
        <v>2.753427302568039E-2</v>
      </c>
    </row>
    <row r="99" spans="1:13" ht="16" thickBot="1" x14ac:dyDescent="0.4">
      <c r="A99" s="80">
        <f t="shared" ref="A99:A139" si="40">1+A98</f>
        <v>95</v>
      </c>
      <c r="B99" s="533"/>
      <c r="C99" s="86" t="s">
        <v>209</v>
      </c>
      <c r="D99" s="87" t="s">
        <v>191</v>
      </c>
      <c r="E99" s="88">
        <v>251.75500000000002</v>
      </c>
      <c r="F99" s="89">
        <f>ROUND(E99*0.2,2)</f>
        <v>50.35</v>
      </c>
      <c r="G99" s="91">
        <f t="shared" si="37"/>
        <v>302.10500000000002</v>
      </c>
      <c r="H99" s="90"/>
      <c r="I99" s="88">
        <f>MROUND((E99*(1+Sheet1!$C$3)),0.01)+0.01</f>
        <v>258.69</v>
      </c>
      <c r="J99" s="89">
        <f>ROUND(I99*0.2,2)</f>
        <v>51.74</v>
      </c>
      <c r="K99" s="91">
        <f t="shared" si="39"/>
        <v>310.43</v>
      </c>
      <c r="L99" s="9">
        <f t="shared" si="26"/>
        <v>8.3249999999999886</v>
      </c>
      <c r="M99" s="8">
        <f t="shared" si="27"/>
        <v>2.7556644213104674E-2</v>
      </c>
    </row>
    <row r="100" spans="1:13" ht="16" thickBot="1" x14ac:dyDescent="0.4">
      <c r="A100" s="80">
        <f t="shared" si="40"/>
        <v>96</v>
      </c>
      <c r="B100" s="533"/>
      <c r="C100" s="86" t="s">
        <v>210</v>
      </c>
      <c r="D100" s="87" t="s">
        <v>191</v>
      </c>
      <c r="E100" s="88">
        <v>215.79000000000002</v>
      </c>
      <c r="F100" s="89">
        <f t="shared" ref="F100:F103" si="41">ROUND(E100*0.2,2)</f>
        <v>43.16</v>
      </c>
      <c r="G100" s="91">
        <f t="shared" si="37"/>
        <v>258.95000000000005</v>
      </c>
      <c r="H100" s="90"/>
      <c r="I100" s="88">
        <f>MROUND((E100*(1+Sheet1!$C$3)),0.01)+0.01</f>
        <v>221.73</v>
      </c>
      <c r="J100" s="89">
        <f t="shared" ref="J100:J103" si="42">ROUND(I100*0.2,2)</f>
        <v>44.35</v>
      </c>
      <c r="K100" s="91">
        <f t="shared" si="39"/>
        <v>266.08</v>
      </c>
      <c r="L100" s="9">
        <f t="shared" si="26"/>
        <v>7.1299999999999386</v>
      </c>
      <c r="M100" s="8">
        <f t="shared" si="27"/>
        <v>2.753427302568039E-2</v>
      </c>
    </row>
    <row r="101" spans="1:13" ht="16" thickBot="1" x14ac:dyDescent="0.4">
      <c r="A101" s="80">
        <f t="shared" si="40"/>
        <v>97</v>
      </c>
      <c r="B101" s="533"/>
      <c r="C101" s="86" t="s">
        <v>211</v>
      </c>
      <c r="D101" s="87" t="s">
        <v>191</v>
      </c>
      <c r="E101" s="88">
        <v>287.72000000000003</v>
      </c>
      <c r="F101" s="89">
        <f t="shared" si="41"/>
        <v>57.54</v>
      </c>
      <c r="G101" s="91">
        <f t="shared" si="37"/>
        <v>345.26000000000005</v>
      </c>
      <c r="H101" s="90"/>
      <c r="I101" s="88">
        <f>MROUND((E101*(1+Sheet1!$C$3)),0.01)+0.01</f>
        <v>295.64</v>
      </c>
      <c r="J101" s="89">
        <f t="shared" si="42"/>
        <v>59.13</v>
      </c>
      <c r="K101" s="91">
        <f t="shared" si="39"/>
        <v>354.77</v>
      </c>
      <c r="L101" s="9">
        <f t="shared" si="26"/>
        <v>9.5099999999999341</v>
      </c>
      <c r="M101" s="8">
        <f t="shared" si="27"/>
        <v>2.7544459248102685E-2</v>
      </c>
    </row>
    <row r="102" spans="1:13" ht="16" thickBot="1" x14ac:dyDescent="0.4">
      <c r="A102" s="80">
        <f t="shared" si="40"/>
        <v>98</v>
      </c>
      <c r="B102" s="533" t="s">
        <v>196</v>
      </c>
      <c r="C102" s="86" t="s">
        <v>208</v>
      </c>
      <c r="D102" s="87" t="s">
        <v>191</v>
      </c>
      <c r="E102" s="88">
        <v>575.44000000000005</v>
      </c>
      <c r="F102" s="89">
        <f t="shared" si="41"/>
        <v>115.09</v>
      </c>
      <c r="G102" s="91">
        <f t="shared" si="37"/>
        <v>690.53000000000009</v>
      </c>
      <c r="H102" s="90"/>
      <c r="I102" s="88">
        <f>MROUND((E102*(1+Sheet1!$C$3)),0.01)+0.02</f>
        <v>591.28</v>
      </c>
      <c r="J102" s="89">
        <f t="shared" si="42"/>
        <v>118.26</v>
      </c>
      <c r="K102" s="91">
        <f t="shared" si="39"/>
        <v>709.54</v>
      </c>
      <c r="L102" s="9">
        <f t="shared" si="26"/>
        <v>19.009999999999877</v>
      </c>
      <c r="M102" s="8">
        <f t="shared" si="27"/>
        <v>2.7529578729381599E-2</v>
      </c>
    </row>
    <row r="103" spans="1:13" ht="16" thickBot="1" x14ac:dyDescent="0.4">
      <c r="A103" s="80">
        <f t="shared" si="40"/>
        <v>99</v>
      </c>
      <c r="B103" s="533"/>
      <c r="C103" s="86" t="s">
        <v>209</v>
      </c>
      <c r="D103" s="87" t="s">
        <v>191</v>
      </c>
      <c r="E103" s="88">
        <v>683.33500000000004</v>
      </c>
      <c r="F103" s="89">
        <f t="shared" si="41"/>
        <v>136.66999999999999</v>
      </c>
      <c r="G103" s="91">
        <f t="shared" si="37"/>
        <v>820.005</v>
      </c>
      <c r="H103" s="90"/>
      <c r="I103" s="88">
        <f>MROUND((E103*(1+Sheet1!$C$3)),0.01)+0.02</f>
        <v>702.15</v>
      </c>
      <c r="J103" s="89">
        <f t="shared" si="42"/>
        <v>140.43</v>
      </c>
      <c r="K103" s="91">
        <f t="shared" si="39"/>
        <v>842.57999999999993</v>
      </c>
      <c r="L103" s="9">
        <f t="shared" si="26"/>
        <v>22.574999999999932</v>
      </c>
      <c r="M103" s="8">
        <f t="shared" si="27"/>
        <v>2.7530319937073472E-2</v>
      </c>
    </row>
    <row r="104" spans="1:13" ht="16" thickBot="1" x14ac:dyDescent="0.4">
      <c r="A104" s="80">
        <f t="shared" si="40"/>
        <v>100</v>
      </c>
      <c r="B104" s="533"/>
      <c r="C104" s="86" t="s">
        <v>210</v>
      </c>
      <c r="D104" s="87" t="s">
        <v>191</v>
      </c>
      <c r="E104" s="88">
        <v>647.37000000000012</v>
      </c>
      <c r="F104" s="89">
        <f>ROUND(E104*0.2,2)</f>
        <v>129.47</v>
      </c>
      <c r="G104" s="91">
        <f t="shared" si="37"/>
        <v>776.84000000000015</v>
      </c>
      <c r="H104" s="90"/>
      <c r="I104" s="88">
        <f>MROUND((E104*(1+Sheet1!$C$3)),0.01)+0.02</f>
        <v>665.18999999999994</v>
      </c>
      <c r="J104" s="89">
        <f>ROUND(I104*0.2,2)</f>
        <v>133.04</v>
      </c>
      <c r="K104" s="91">
        <f t="shared" si="39"/>
        <v>798.2299999999999</v>
      </c>
      <c r="L104" s="9">
        <f t="shared" si="26"/>
        <v>21.389999999999759</v>
      </c>
      <c r="M104" s="8">
        <f t="shared" si="27"/>
        <v>2.7534627465114765E-2</v>
      </c>
    </row>
    <row r="105" spans="1:13" ht="16" thickBot="1" x14ac:dyDescent="0.4">
      <c r="A105" s="80">
        <f t="shared" si="40"/>
        <v>101</v>
      </c>
      <c r="B105" s="533"/>
      <c r="C105" s="86" t="s">
        <v>211</v>
      </c>
      <c r="D105" s="87" t="s">
        <v>191</v>
      </c>
      <c r="E105" s="88">
        <v>719.30000000000007</v>
      </c>
      <c r="F105" s="89">
        <f t="shared" ref="F105" si="43">ROUND(E105*0.2,2)</f>
        <v>143.86000000000001</v>
      </c>
      <c r="G105" s="91">
        <f t="shared" si="37"/>
        <v>863.16000000000008</v>
      </c>
      <c r="H105" s="90"/>
      <c r="I105" s="88">
        <f>MROUND((E105*(1+Sheet1!$C$3)),0.01)+0.02</f>
        <v>739.1</v>
      </c>
      <c r="J105" s="89">
        <f t="shared" ref="J105" si="44">ROUND(I105*0.2,2)</f>
        <v>147.82</v>
      </c>
      <c r="K105" s="91">
        <f t="shared" si="39"/>
        <v>886.92000000000007</v>
      </c>
      <c r="L105" s="9">
        <f t="shared" si="26"/>
        <v>23.759999999999991</v>
      </c>
      <c r="M105" s="8">
        <f t="shared" si="27"/>
        <v>2.7526762129848451E-2</v>
      </c>
    </row>
    <row r="106" spans="1:13" ht="16" thickBot="1" x14ac:dyDescent="0.4">
      <c r="A106" s="80">
        <f t="shared" si="40"/>
        <v>102</v>
      </c>
      <c r="B106" s="533" t="s">
        <v>198</v>
      </c>
      <c r="C106" s="86" t="s">
        <v>208</v>
      </c>
      <c r="D106" s="87" t="s">
        <v>191</v>
      </c>
      <c r="E106" s="534" t="s">
        <v>199</v>
      </c>
      <c r="F106" s="535"/>
      <c r="G106" s="535"/>
      <c r="H106" s="535"/>
      <c r="I106" s="535"/>
      <c r="J106" s="535"/>
      <c r="K106" s="536"/>
      <c r="L106" s="9"/>
      <c r="M106" s="8"/>
    </row>
    <row r="107" spans="1:13" ht="16" thickBot="1" x14ac:dyDescent="0.4">
      <c r="A107" s="80">
        <f t="shared" si="40"/>
        <v>103</v>
      </c>
      <c r="B107" s="533"/>
      <c r="C107" s="86" t="s">
        <v>209</v>
      </c>
      <c r="D107" s="87" t="s">
        <v>191</v>
      </c>
      <c r="E107" s="534" t="s">
        <v>199</v>
      </c>
      <c r="F107" s="535"/>
      <c r="G107" s="535"/>
      <c r="H107" s="535"/>
      <c r="I107" s="535"/>
      <c r="J107" s="535"/>
      <c r="K107" s="536"/>
      <c r="L107" s="9"/>
      <c r="M107" s="8"/>
    </row>
    <row r="108" spans="1:13" ht="16" thickBot="1" x14ac:dyDescent="0.4">
      <c r="A108" s="80">
        <f t="shared" si="40"/>
        <v>104</v>
      </c>
      <c r="B108" s="533"/>
      <c r="C108" s="86" t="s">
        <v>210</v>
      </c>
      <c r="D108" s="87" t="s">
        <v>191</v>
      </c>
      <c r="E108" s="534" t="s">
        <v>199</v>
      </c>
      <c r="F108" s="535"/>
      <c r="G108" s="535"/>
      <c r="H108" s="535"/>
      <c r="I108" s="535"/>
      <c r="J108" s="535"/>
      <c r="K108" s="536"/>
      <c r="L108" s="9"/>
      <c r="M108" s="8"/>
    </row>
    <row r="109" spans="1:13" ht="16" thickBot="1" x14ac:dyDescent="0.4">
      <c r="A109" s="80">
        <f t="shared" si="40"/>
        <v>105</v>
      </c>
      <c r="B109" s="533"/>
      <c r="C109" s="86" t="s">
        <v>211</v>
      </c>
      <c r="D109" s="87" t="s">
        <v>191</v>
      </c>
      <c r="E109" s="534" t="s">
        <v>199</v>
      </c>
      <c r="F109" s="535"/>
      <c r="G109" s="535"/>
      <c r="H109" s="535"/>
      <c r="I109" s="535"/>
      <c r="J109" s="535"/>
      <c r="K109" s="536"/>
      <c r="L109" s="9"/>
      <c r="M109" s="8"/>
    </row>
    <row r="110" spans="1:13" ht="16" thickBot="1" x14ac:dyDescent="0.4">
      <c r="A110" s="80">
        <f t="shared" si="40"/>
        <v>106</v>
      </c>
      <c r="B110" s="533" t="s">
        <v>189</v>
      </c>
      <c r="C110" s="86" t="s">
        <v>221</v>
      </c>
      <c r="D110" s="87" t="s">
        <v>191</v>
      </c>
      <c r="E110" s="88">
        <v>179.82500000000002</v>
      </c>
      <c r="F110" s="89">
        <f t="shared" ref="F110:F117" si="45">ROUND(E110*0.2,2)</f>
        <v>35.97</v>
      </c>
      <c r="G110" s="91">
        <f t="shared" ref="G110:G117" si="46">SUM(E110+F110)</f>
        <v>215.79500000000002</v>
      </c>
      <c r="H110" s="90"/>
      <c r="I110" s="88">
        <f>MROUND((E110*(1+Sheet1!$C$3)),0.01)+0.01</f>
        <v>184.78</v>
      </c>
      <c r="J110" s="89">
        <f t="shared" ref="J110:J117" si="47">ROUND(I110*0.2,2)</f>
        <v>36.96</v>
      </c>
      <c r="K110" s="91">
        <f t="shared" ref="K110:K117" si="48">SUM(I110+J110)</f>
        <v>221.74</v>
      </c>
      <c r="L110" s="9">
        <f t="shared" si="26"/>
        <v>5.9449999999999932</v>
      </c>
      <c r="M110" s="8">
        <f t="shared" si="27"/>
        <v>2.7549294469287947E-2</v>
      </c>
    </row>
    <row r="111" spans="1:13" ht="16" thickBot="1" x14ac:dyDescent="0.4">
      <c r="A111" s="80">
        <f t="shared" si="40"/>
        <v>107</v>
      </c>
      <c r="B111" s="533"/>
      <c r="C111" s="86" t="s">
        <v>222</v>
      </c>
      <c r="D111" s="87" t="s">
        <v>191</v>
      </c>
      <c r="E111" s="88">
        <v>179.82500000000002</v>
      </c>
      <c r="F111" s="89">
        <f t="shared" si="45"/>
        <v>35.97</v>
      </c>
      <c r="G111" s="91">
        <f t="shared" si="46"/>
        <v>215.79500000000002</v>
      </c>
      <c r="H111" s="90"/>
      <c r="I111" s="88">
        <f>MROUND((E111*(1+Sheet1!$C$3)),0.01)+0.01</f>
        <v>184.78</v>
      </c>
      <c r="J111" s="89">
        <f t="shared" si="47"/>
        <v>36.96</v>
      </c>
      <c r="K111" s="91">
        <f t="shared" si="48"/>
        <v>221.74</v>
      </c>
      <c r="L111" s="9">
        <f t="shared" si="26"/>
        <v>5.9449999999999932</v>
      </c>
      <c r="M111" s="8">
        <f t="shared" si="27"/>
        <v>2.7549294469287947E-2</v>
      </c>
    </row>
    <row r="112" spans="1:13" ht="16" thickBot="1" x14ac:dyDescent="0.4">
      <c r="A112" s="80">
        <f t="shared" si="40"/>
        <v>108</v>
      </c>
      <c r="B112" s="533"/>
      <c r="C112" s="86" t="s">
        <v>224</v>
      </c>
      <c r="D112" s="87" t="s">
        <v>191</v>
      </c>
      <c r="E112" s="88">
        <v>179.82500000000002</v>
      </c>
      <c r="F112" s="89">
        <f t="shared" si="45"/>
        <v>35.97</v>
      </c>
      <c r="G112" s="91">
        <f t="shared" si="46"/>
        <v>215.79500000000002</v>
      </c>
      <c r="H112" s="90"/>
      <c r="I112" s="88">
        <f>MROUND((E112*(1+Sheet1!$C$3)),0.01)+0.01</f>
        <v>184.78</v>
      </c>
      <c r="J112" s="89">
        <f t="shared" si="47"/>
        <v>36.96</v>
      </c>
      <c r="K112" s="91">
        <f t="shared" si="48"/>
        <v>221.74</v>
      </c>
      <c r="L112" s="9">
        <f t="shared" si="26"/>
        <v>5.9449999999999932</v>
      </c>
      <c r="M112" s="8">
        <f t="shared" si="27"/>
        <v>2.7549294469287947E-2</v>
      </c>
    </row>
    <row r="113" spans="1:13" ht="16" thickBot="1" x14ac:dyDescent="0.4">
      <c r="A113" s="80">
        <f t="shared" si="40"/>
        <v>109</v>
      </c>
      <c r="B113" s="533"/>
      <c r="C113" s="86" t="s">
        <v>225</v>
      </c>
      <c r="D113" s="87" t="s">
        <v>191</v>
      </c>
      <c r="E113" s="88">
        <v>179.82500000000002</v>
      </c>
      <c r="F113" s="89">
        <f t="shared" si="45"/>
        <v>35.97</v>
      </c>
      <c r="G113" s="91">
        <f t="shared" si="46"/>
        <v>215.79500000000002</v>
      </c>
      <c r="H113" s="90"/>
      <c r="I113" s="88">
        <f>MROUND((E113*(1+Sheet1!$C$3)),0.01)+0.01</f>
        <v>184.78</v>
      </c>
      <c r="J113" s="89">
        <f t="shared" si="47"/>
        <v>36.96</v>
      </c>
      <c r="K113" s="91">
        <f t="shared" si="48"/>
        <v>221.74</v>
      </c>
      <c r="L113" s="9">
        <f t="shared" si="26"/>
        <v>5.9449999999999932</v>
      </c>
      <c r="M113" s="8">
        <f t="shared" si="27"/>
        <v>2.7549294469287947E-2</v>
      </c>
    </row>
    <row r="114" spans="1:13" ht="16" thickBot="1" x14ac:dyDescent="0.4">
      <c r="A114" s="80">
        <f t="shared" si="40"/>
        <v>110</v>
      </c>
      <c r="B114" s="533" t="s">
        <v>196</v>
      </c>
      <c r="C114" s="86" t="s">
        <v>221</v>
      </c>
      <c r="D114" s="87" t="s">
        <v>191</v>
      </c>
      <c r="E114" s="88">
        <v>179.82500000000002</v>
      </c>
      <c r="F114" s="89">
        <f t="shared" si="45"/>
        <v>35.97</v>
      </c>
      <c r="G114" s="91">
        <f t="shared" si="46"/>
        <v>215.79500000000002</v>
      </c>
      <c r="H114" s="90"/>
      <c r="I114" s="88">
        <f>MROUND((E114*(1+Sheet1!$C$3)),0.01)+0.01</f>
        <v>184.78</v>
      </c>
      <c r="J114" s="89">
        <f t="shared" si="47"/>
        <v>36.96</v>
      </c>
      <c r="K114" s="91">
        <f t="shared" si="48"/>
        <v>221.74</v>
      </c>
      <c r="L114" s="9">
        <f t="shared" si="26"/>
        <v>5.9449999999999932</v>
      </c>
      <c r="M114" s="8">
        <f t="shared" si="27"/>
        <v>2.7549294469287947E-2</v>
      </c>
    </row>
    <row r="115" spans="1:13" ht="16" thickBot="1" x14ac:dyDescent="0.4">
      <c r="A115" s="80">
        <f t="shared" si="40"/>
        <v>111</v>
      </c>
      <c r="B115" s="533"/>
      <c r="C115" s="86" t="s">
        <v>222</v>
      </c>
      <c r="D115" s="87" t="s">
        <v>191</v>
      </c>
      <c r="E115" s="88">
        <v>179.82500000000002</v>
      </c>
      <c r="F115" s="89">
        <f t="shared" si="45"/>
        <v>35.97</v>
      </c>
      <c r="G115" s="91">
        <f t="shared" si="46"/>
        <v>215.79500000000002</v>
      </c>
      <c r="H115" s="90"/>
      <c r="I115" s="88">
        <f>MROUND((E115*(1+Sheet1!$C$3)),0.01)+0.01</f>
        <v>184.78</v>
      </c>
      <c r="J115" s="89">
        <f t="shared" si="47"/>
        <v>36.96</v>
      </c>
      <c r="K115" s="91">
        <f t="shared" si="48"/>
        <v>221.74</v>
      </c>
      <c r="L115" s="9">
        <f t="shared" si="26"/>
        <v>5.9449999999999932</v>
      </c>
      <c r="M115" s="8">
        <f t="shared" si="27"/>
        <v>2.7549294469287947E-2</v>
      </c>
    </row>
    <row r="116" spans="1:13" ht="16" thickBot="1" x14ac:dyDescent="0.4">
      <c r="A116" s="80">
        <f t="shared" si="40"/>
        <v>112</v>
      </c>
      <c r="B116" s="533"/>
      <c r="C116" s="86" t="s">
        <v>224</v>
      </c>
      <c r="D116" s="87" t="s">
        <v>191</v>
      </c>
      <c r="E116" s="88">
        <v>179.82500000000002</v>
      </c>
      <c r="F116" s="89">
        <f t="shared" si="45"/>
        <v>35.97</v>
      </c>
      <c r="G116" s="91">
        <f t="shared" si="46"/>
        <v>215.79500000000002</v>
      </c>
      <c r="H116" s="90"/>
      <c r="I116" s="88">
        <f>MROUND((E116*(1+Sheet1!$C$3)),0.01)+0.01</f>
        <v>184.78</v>
      </c>
      <c r="J116" s="89">
        <f t="shared" si="47"/>
        <v>36.96</v>
      </c>
      <c r="K116" s="91">
        <f t="shared" si="48"/>
        <v>221.74</v>
      </c>
      <c r="L116" s="9">
        <f t="shared" si="26"/>
        <v>5.9449999999999932</v>
      </c>
      <c r="M116" s="8">
        <f t="shared" si="27"/>
        <v>2.7549294469287947E-2</v>
      </c>
    </row>
    <row r="117" spans="1:13" ht="16" thickBot="1" x14ac:dyDescent="0.4">
      <c r="A117" s="80">
        <f t="shared" si="40"/>
        <v>113</v>
      </c>
      <c r="B117" s="533"/>
      <c r="C117" s="86" t="s">
        <v>225</v>
      </c>
      <c r="D117" s="87" t="s">
        <v>191</v>
      </c>
      <c r="E117" s="88">
        <v>179.82500000000002</v>
      </c>
      <c r="F117" s="89">
        <f t="shared" si="45"/>
        <v>35.97</v>
      </c>
      <c r="G117" s="91">
        <f t="shared" si="46"/>
        <v>215.79500000000002</v>
      </c>
      <c r="H117" s="90"/>
      <c r="I117" s="88">
        <f>MROUND((E117*(1+Sheet1!$C$3)),0.01)+0.01</f>
        <v>184.78</v>
      </c>
      <c r="J117" s="89">
        <f t="shared" si="47"/>
        <v>36.96</v>
      </c>
      <c r="K117" s="91">
        <f t="shared" si="48"/>
        <v>221.74</v>
      </c>
      <c r="L117" s="9">
        <f t="shared" si="26"/>
        <v>5.9449999999999932</v>
      </c>
      <c r="M117" s="8">
        <f t="shared" si="27"/>
        <v>2.7549294469287947E-2</v>
      </c>
    </row>
    <row r="118" spans="1:13" ht="16" thickBot="1" x14ac:dyDescent="0.4">
      <c r="A118" s="80">
        <f t="shared" si="40"/>
        <v>114</v>
      </c>
      <c r="B118" s="533" t="s">
        <v>198</v>
      </c>
      <c r="C118" s="86" t="s">
        <v>221</v>
      </c>
      <c r="D118" s="87" t="s">
        <v>191</v>
      </c>
      <c r="E118" s="534" t="s">
        <v>199</v>
      </c>
      <c r="F118" s="535"/>
      <c r="G118" s="535"/>
      <c r="H118" s="535"/>
      <c r="I118" s="535"/>
      <c r="J118" s="535"/>
      <c r="K118" s="536"/>
      <c r="L118" s="9"/>
      <c r="M118" s="8"/>
    </row>
    <row r="119" spans="1:13" ht="16" thickBot="1" x14ac:dyDescent="0.4">
      <c r="A119" s="80">
        <f t="shared" si="40"/>
        <v>115</v>
      </c>
      <c r="B119" s="533"/>
      <c r="C119" s="86" t="s">
        <v>222</v>
      </c>
      <c r="D119" s="87" t="s">
        <v>191</v>
      </c>
      <c r="E119" s="534" t="s">
        <v>199</v>
      </c>
      <c r="F119" s="535"/>
      <c r="G119" s="535"/>
      <c r="H119" s="535"/>
      <c r="I119" s="535"/>
      <c r="J119" s="535"/>
      <c r="K119" s="536"/>
      <c r="L119" s="9"/>
      <c r="M119" s="8"/>
    </row>
    <row r="120" spans="1:13" ht="16" thickBot="1" x14ac:dyDescent="0.4">
      <c r="A120" s="80">
        <f t="shared" si="40"/>
        <v>116</v>
      </c>
      <c r="B120" s="533"/>
      <c r="C120" s="86" t="s">
        <v>224</v>
      </c>
      <c r="D120" s="87" t="s">
        <v>191</v>
      </c>
      <c r="E120" s="534" t="s">
        <v>199</v>
      </c>
      <c r="F120" s="535"/>
      <c r="G120" s="535"/>
      <c r="H120" s="535"/>
      <c r="I120" s="535"/>
      <c r="J120" s="535"/>
      <c r="K120" s="536"/>
      <c r="L120" s="9"/>
      <c r="M120" s="8"/>
    </row>
    <row r="121" spans="1:13" ht="16" thickBot="1" x14ac:dyDescent="0.4">
      <c r="A121" s="80">
        <f t="shared" si="40"/>
        <v>117</v>
      </c>
      <c r="B121" s="533"/>
      <c r="C121" s="86" t="s">
        <v>225</v>
      </c>
      <c r="D121" s="87" t="s">
        <v>191</v>
      </c>
      <c r="E121" s="534" t="s">
        <v>199</v>
      </c>
      <c r="F121" s="535"/>
      <c r="G121" s="535"/>
      <c r="H121" s="535"/>
      <c r="I121" s="535"/>
      <c r="J121" s="535"/>
      <c r="K121" s="536"/>
      <c r="L121" s="9"/>
      <c r="M121" s="8"/>
    </row>
    <row r="122" spans="1:13" ht="16" thickBot="1" x14ac:dyDescent="0.4">
      <c r="A122" s="80">
        <f t="shared" si="40"/>
        <v>118</v>
      </c>
      <c r="B122" s="533" t="s">
        <v>189</v>
      </c>
      <c r="C122" s="86" t="s">
        <v>226</v>
      </c>
      <c r="D122" s="87" t="s">
        <v>191</v>
      </c>
      <c r="E122" s="88">
        <v>179.82500000000002</v>
      </c>
      <c r="F122" s="89">
        <f t="shared" ref="F122:F129" si="49">ROUND(E122*0.2,2)</f>
        <v>35.97</v>
      </c>
      <c r="G122" s="91">
        <f t="shared" ref="G122:G129" si="50">SUM(E122+F122)</f>
        <v>215.79500000000002</v>
      </c>
      <c r="H122" s="90"/>
      <c r="I122" s="88">
        <f>MROUND((E122*(1+Sheet1!$C$3)),0.01)+0.01</f>
        <v>184.78</v>
      </c>
      <c r="J122" s="89">
        <f t="shared" ref="J122:J129" si="51">ROUND(I122*0.2,2)</f>
        <v>36.96</v>
      </c>
      <c r="K122" s="91">
        <f t="shared" ref="K122:K129" si="52">SUM(I122+J122)</f>
        <v>221.74</v>
      </c>
      <c r="L122" s="9">
        <f t="shared" si="26"/>
        <v>5.9449999999999932</v>
      </c>
      <c r="M122" s="8">
        <f t="shared" si="27"/>
        <v>2.7549294469287947E-2</v>
      </c>
    </row>
    <row r="123" spans="1:13" ht="16" thickBot="1" x14ac:dyDescent="0.4">
      <c r="A123" s="80">
        <f t="shared" si="40"/>
        <v>119</v>
      </c>
      <c r="B123" s="533"/>
      <c r="C123" s="86" t="s">
        <v>227</v>
      </c>
      <c r="D123" s="87" t="s">
        <v>191</v>
      </c>
      <c r="E123" s="88">
        <v>179.82500000000002</v>
      </c>
      <c r="F123" s="89">
        <f t="shared" si="49"/>
        <v>35.97</v>
      </c>
      <c r="G123" s="91">
        <f t="shared" si="50"/>
        <v>215.79500000000002</v>
      </c>
      <c r="H123" s="90"/>
      <c r="I123" s="88">
        <f>MROUND((E123*(1+Sheet1!$C$3)),0.01)+0.01</f>
        <v>184.78</v>
      </c>
      <c r="J123" s="89">
        <f t="shared" si="51"/>
        <v>36.96</v>
      </c>
      <c r="K123" s="91">
        <f t="shared" si="52"/>
        <v>221.74</v>
      </c>
      <c r="L123" s="9">
        <f t="shared" si="26"/>
        <v>5.9449999999999932</v>
      </c>
      <c r="M123" s="8">
        <f t="shared" si="27"/>
        <v>2.7549294469287947E-2</v>
      </c>
    </row>
    <row r="124" spans="1:13" ht="16" thickBot="1" x14ac:dyDescent="0.4">
      <c r="A124" s="80">
        <f t="shared" si="40"/>
        <v>120</v>
      </c>
      <c r="B124" s="533"/>
      <c r="C124" s="86" t="s">
        <v>228</v>
      </c>
      <c r="D124" s="87" t="s">
        <v>191</v>
      </c>
      <c r="E124" s="88">
        <v>179.82500000000002</v>
      </c>
      <c r="F124" s="89">
        <f t="shared" si="49"/>
        <v>35.97</v>
      </c>
      <c r="G124" s="91">
        <f t="shared" si="50"/>
        <v>215.79500000000002</v>
      </c>
      <c r="H124" s="90"/>
      <c r="I124" s="88">
        <f>MROUND((E124*(1+Sheet1!$C$3)),0.01)+0.01</f>
        <v>184.78</v>
      </c>
      <c r="J124" s="89">
        <f t="shared" si="51"/>
        <v>36.96</v>
      </c>
      <c r="K124" s="91">
        <f t="shared" si="52"/>
        <v>221.74</v>
      </c>
      <c r="L124" s="9">
        <f t="shared" si="26"/>
        <v>5.9449999999999932</v>
      </c>
      <c r="M124" s="8">
        <f t="shared" si="27"/>
        <v>2.7549294469287947E-2</v>
      </c>
    </row>
    <row r="125" spans="1:13" ht="16" thickBot="1" x14ac:dyDescent="0.4">
      <c r="A125" s="80">
        <f t="shared" si="40"/>
        <v>121</v>
      </c>
      <c r="B125" s="533"/>
      <c r="C125" s="86" t="s">
        <v>229</v>
      </c>
      <c r="D125" s="87" t="s">
        <v>191</v>
      </c>
      <c r="E125" s="88">
        <v>179.82500000000002</v>
      </c>
      <c r="F125" s="89">
        <f t="shared" si="49"/>
        <v>35.97</v>
      </c>
      <c r="G125" s="91">
        <f t="shared" si="50"/>
        <v>215.79500000000002</v>
      </c>
      <c r="H125" s="90"/>
      <c r="I125" s="88">
        <f>MROUND((E125*(1+Sheet1!$C$3)),0.01)+0.01</f>
        <v>184.78</v>
      </c>
      <c r="J125" s="89">
        <f t="shared" si="51"/>
        <v>36.96</v>
      </c>
      <c r="K125" s="91">
        <f t="shared" si="52"/>
        <v>221.74</v>
      </c>
      <c r="L125" s="9">
        <f t="shared" si="26"/>
        <v>5.9449999999999932</v>
      </c>
      <c r="M125" s="8">
        <f t="shared" si="27"/>
        <v>2.7549294469287947E-2</v>
      </c>
    </row>
    <row r="126" spans="1:13" ht="16" thickBot="1" x14ac:dyDescent="0.4">
      <c r="A126" s="80">
        <f t="shared" si="40"/>
        <v>122</v>
      </c>
      <c r="B126" s="533" t="s">
        <v>196</v>
      </c>
      <c r="C126" s="86" t="s">
        <v>226</v>
      </c>
      <c r="D126" s="87" t="s">
        <v>191</v>
      </c>
      <c r="E126" s="88">
        <v>323.68500000000006</v>
      </c>
      <c r="F126" s="89">
        <f t="shared" si="49"/>
        <v>64.739999999999995</v>
      </c>
      <c r="G126" s="91">
        <f t="shared" si="50"/>
        <v>388.42500000000007</v>
      </c>
      <c r="H126" s="90"/>
      <c r="I126" s="88">
        <f>MROUND((E126*(1+Sheet1!$C$3)),0.01)+0.01</f>
        <v>332.6</v>
      </c>
      <c r="J126" s="89">
        <f t="shared" si="51"/>
        <v>66.52</v>
      </c>
      <c r="K126" s="91">
        <f t="shared" si="52"/>
        <v>399.12</v>
      </c>
      <c r="L126" s="9">
        <f t="shared" si="26"/>
        <v>10.694999999999936</v>
      </c>
      <c r="M126" s="8">
        <f t="shared" si="27"/>
        <v>2.7534273025680466E-2</v>
      </c>
    </row>
    <row r="127" spans="1:13" ht="16" thickBot="1" x14ac:dyDescent="0.4">
      <c r="A127" s="80">
        <f t="shared" si="40"/>
        <v>123</v>
      </c>
      <c r="B127" s="533"/>
      <c r="C127" s="86" t="s">
        <v>227</v>
      </c>
      <c r="D127" s="87" t="s">
        <v>191</v>
      </c>
      <c r="E127" s="88">
        <v>323.68500000000006</v>
      </c>
      <c r="F127" s="89">
        <f t="shared" si="49"/>
        <v>64.739999999999995</v>
      </c>
      <c r="G127" s="91">
        <f t="shared" si="50"/>
        <v>388.42500000000007</v>
      </c>
      <c r="H127" s="90"/>
      <c r="I127" s="88">
        <f>MROUND((E127*(1+Sheet1!$C$3)),0.01)+0.01</f>
        <v>332.6</v>
      </c>
      <c r="J127" s="89">
        <f t="shared" si="51"/>
        <v>66.52</v>
      </c>
      <c r="K127" s="91">
        <f t="shared" si="52"/>
        <v>399.12</v>
      </c>
      <c r="L127" s="9">
        <f t="shared" si="26"/>
        <v>10.694999999999936</v>
      </c>
      <c r="M127" s="8">
        <f t="shared" si="27"/>
        <v>2.7534273025680466E-2</v>
      </c>
    </row>
    <row r="128" spans="1:13" ht="16" thickBot="1" x14ac:dyDescent="0.4">
      <c r="A128" s="80">
        <f t="shared" si="40"/>
        <v>124</v>
      </c>
      <c r="B128" s="533"/>
      <c r="C128" s="86" t="s">
        <v>228</v>
      </c>
      <c r="D128" s="87" t="s">
        <v>191</v>
      </c>
      <c r="E128" s="88">
        <v>323.68500000000006</v>
      </c>
      <c r="F128" s="89">
        <f t="shared" si="49"/>
        <v>64.739999999999995</v>
      </c>
      <c r="G128" s="91">
        <f t="shared" si="50"/>
        <v>388.42500000000007</v>
      </c>
      <c r="H128" s="90"/>
      <c r="I128" s="88">
        <f>MROUND((E128*(1+Sheet1!$C$3)),0.01)+0.01</f>
        <v>332.6</v>
      </c>
      <c r="J128" s="89">
        <f t="shared" si="51"/>
        <v>66.52</v>
      </c>
      <c r="K128" s="91">
        <f t="shared" si="52"/>
        <v>399.12</v>
      </c>
      <c r="L128" s="9">
        <f t="shared" si="26"/>
        <v>10.694999999999936</v>
      </c>
      <c r="M128" s="8">
        <f t="shared" si="27"/>
        <v>2.7534273025680466E-2</v>
      </c>
    </row>
    <row r="129" spans="1:13" ht="16" thickBot="1" x14ac:dyDescent="0.4">
      <c r="A129" s="80">
        <f t="shared" si="40"/>
        <v>125</v>
      </c>
      <c r="B129" s="533"/>
      <c r="C129" s="86" t="s">
        <v>229</v>
      </c>
      <c r="D129" s="87" t="s">
        <v>191</v>
      </c>
      <c r="E129" s="88">
        <v>323.68500000000006</v>
      </c>
      <c r="F129" s="89">
        <f t="shared" si="49"/>
        <v>64.739999999999995</v>
      </c>
      <c r="G129" s="91">
        <f t="shared" si="50"/>
        <v>388.42500000000007</v>
      </c>
      <c r="H129" s="90"/>
      <c r="I129" s="88">
        <f>MROUND((E129*(1+Sheet1!$C$3)),0.01)+0.01</f>
        <v>332.6</v>
      </c>
      <c r="J129" s="89">
        <f t="shared" si="51"/>
        <v>66.52</v>
      </c>
      <c r="K129" s="91">
        <f t="shared" si="52"/>
        <v>399.12</v>
      </c>
      <c r="L129" s="9">
        <f t="shared" si="26"/>
        <v>10.694999999999936</v>
      </c>
      <c r="M129" s="8">
        <f t="shared" si="27"/>
        <v>2.7534273025680466E-2</v>
      </c>
    </row>
    <row r="130" spans="1:13" ht="16" thickBot="1" x14ac:dyDescent="0.4">
      <c r="A130" s="80">
        <f t="shared" si="40"/>
        <v>126</v>
      </c>
      <c r="B130" s="533" t="s">
        <v>198</v>
      </c>
      <c r="C130" s="86" t="s">
        <v>226</v>
      </c>
      <c r="D130" s="87" t="s">
        <v>191</v>
      </c>
      <c r="E130" s="534" t="s">
        <v>199</v>
      </c>
      <c r="F130" s="535"/>
      <c r="G130" s="535"/>
      <c r="H130" s="535"/>
      <c r="I130" s="535"/>
      <c r="J130" s="535"/>
      <c r="K130" s="536"/>
      <c r="L130" s="9"/>
      <c r="M130" s="8"/>
    </row>
    <row r="131" spans="1:13" ht="16" thickBot="1" x14ac:dyDescent="0.4">
      <c r="A131" s="80">
        <f t="shared" si="40"/>
        <v>127</v>
      </c>
      <c r="B131" s="533"/>
      <c r="C131" s="86" t="s">
        <v>227</v>
      </c>
      <c r="D131" s="87" t="s">
        <v>191</v>
      </c>
      <c r="E131" s="534" t="s">
        <v>199</v>
      </c>
      <c r="F131" s="535"/>
      <c r="G131" s="535"/>
      <c r="H131" s="535"/>
      <c r="I131" s="535"/>
      <c r="J131" s="535"/>
      <c r="K131" s="536"/>
      <c r="L131" s="9"/>
      <c r="M131" s="8"/>
    </row>
    <row r="132" spans="1:13" ht="16" thickBot="1" x14ac:dyDescent="0.4">
      <c r="A132" s="80">
        <f t="shared" si="40"/>
        <v>128</v>
      </c>
      <c r="B132" s="533"/>
      <c r="C132" s="86" t="s">
        <v>228</v>
      </c>
      <c r="D132" s="87" t="s">
        <v>191</v>
      </c>
      <c r="E132" s="534" t="s">
        <v>199</v>
      </c>
      <c r="F132" s="535"/>
      <c r="G132" s="535"/>
      <c r="H132" s="535"/>
      <c r="I132" s="535"/>
      <c r="J132" s="535"/>
      <c r="K132" s="536"/>
      <c r="L132" s="9"/>
      <c r="M132" s="8"/>
    </row>
    <row r="133" spans="1:13" ht="16" thickBot="1" x14ac:dyDescent="0.4">
      <c r="A133" s="80">
        <f t="shared" si="40"/>
        <v>129</v>
      </c>
      <c r="B133" s="533"/>
      <c r="C133" s="86" t="s">
        <v>229</v>
      </c>
      <c r="D133" s="87" t="s">
        <v>191</v>
      </c>
      <c r="E133" s="534" t="s">
        <v>199</v>
      </c>
      <c r="F133" s="535"/>
      <c r="G133" s="535"/>
      <c r="H133" s="535"/>
      <c r="I133" s="535"/>
      <c r="J133" s="535"/>
      <c r="K133" s="536"/>
      <c r="L133" s="9"/>
      <c r="M133" s="8"/>
    </row>
    <row r="134" spans="1:13" ht="16" thickBot="1" x14ac:dyDescent="0.4">
      <c r="A134" s="80">
        <f t="shared" si="40"/>
        <v>130</v>
      </c>
      <c r="B134" s="533" t="s">
        <v>189</v>
      </c>
      <c r="C134" s="86" t="s">
        <v>220</v>
      </c>
      <c r="D134" s="87" t="s">
        <v>191</v>
      </c>
      <c r="E134" s="88">
        <v>215.79000000000002</v>
      </c>
      <c r="F134" s="89">
        <f>ROUND(E134*0.2,2)</f>
        <v>43.16</v>
      </c>
      <c r="G134" s="91">
        <f>SUM(E134+F134)</f>
        <v>258.95000000000005</v>
      </c>
      <c r="H134" s="90"/>
      <c r="I134" s="88">
        <f>MROUND((E134*(1+Sheet1!$C$3)),0.01)+0.01</f>
        <v>221.73</v>
      </c>
      <c r="J134" s="89">
        <f>ROUND(I134*0.2,2)</f>
        <v>44.35</v>
      </c>
      <c r="K134" s="91">
        <f>SUM(I134+J134)</f>
        <v>266.08</v>
      </c>
      <c r="L134" s="9">
        <f t="shared" ref="L134:L137" si="53">K134-G134</f>
        <v>7.1299999999999386</v>
      </c>
      <c r="M134" s="8">
        <f t="shared" ref="M134:M137" si="54">IF(G134="","NEW",L134/G134)</f>
        <v>2.753427302568039E-2</v>
      </c>
    </row>
    <row r="135" spans="1:13" ht="16" thickBot="1" x14ac:dyDescent="0.4">
      <c r="A135" s="80">
        <f t="shared" si="40"/>
        <v>131</v>
      </c>
      <c r="B135" s="533"/>
      <c r="C135" s="86" t="s">
        <v>230</v>
      </c>
      <c r="D135" s="87" t="s">
        <v>191</v>
      </c>
      <c r="E135" s="88">
        <v>215.79000000000002</v>
      </c>
      <c r="F135" s="89">
        <f>ROUND(E135*0.2,2)</f>
        <v>43.16</v>
      </c>
      <c r="G135" s="91">
        <f>SUM(E135+F135)</f>
        <v>258.95000000000005</v>
      </c>
      <c r="H135" s="90"/>
      <c r="I135" s="88">
        <f>MROUND((E135*(1+Sheet1!$C$3)),0.01)+0.01</f>
        <v>221.73</v>
      </c>
      <c r="J135" s="89">
        <f>ROUND(I135*0.2,2)</f>
        <v>44.35</v>
      </c>
      <c r="K135" s="91">
        <f>SUM(I135+J135)</f>
        <v>266.08</v>
      </c>
      <c r="L135" s="9">
        <f t="shared" si="53"/>
        <v>7.1299999999999386</v>
      </c>
      <c r="M135" s="8">
        <f t="shared" si="54"/>
        <v>2.753427302568039E-2</v>
      </c>
    </row>
    <row r="136" spans="1:13" ht="16" thickBot="1" x14ac:dyDescent="0.4">
      <c r="A136" s="80">
        <f t="shared" si="40"/>
        <v>132</v>
      </c>
      <c r="B136" s="533" t="s">
        <v>196</v>
      </c>
      <c r="C136" s="86" t="s">
        <v>220</v>
      </c>
      <c r="D136" s="87" t="s">
        <v>191</v>
      </c>
      <c r="E136" s="88">
        <v>647.37000000000012</v>
      </c>
      <c r="F136" s="89">
        <f>ROUND(E136*0.2,2)+0.01</f>
        <v>129.47999999999999</v>
      </c>
      <c r="G136" s="91">
        <f>SUM(E136+F136)</f>
        <v>776.85000000000014</v>
      </c>
      <c r="H136" s="90"/>
      <c r="I136" s="88">
        <f>MROUND((E136*(1+Sheet1!$C$3)),0.01)+0.02</f>
        <v>665.18999999999994</v>
      </c>
      <c r="J136" s="89">
        <f>ROUND(I136*0.2,2)+0.01</f>
        <v>133.04999999999998</v>
      </c>
      <c r="K136" s="91">
        <f>SUM(I136+J136)</f>
        <v>798.2399999999999</v>
      </c>
      <c r="L136" s="9">
        <f t="shared" si="53"/>
        <v>21.389999999999759</v>
      </c>
      <c r="M136" s="8">
        <f t="shared" si="54"/>
        <v>2.7534273025680317E-2</v>
      </c>
    </row>
    <row r="137" spans="1:13" ht="16" thickBot="1" x14ac:dyDescent="0.4">
      <c r="A137" s="80">
        <f t="shared" si="40"/>
        <v>133</v>
      </c>
      <c r="B137" s="533"/>
      <c r="C137" s="86" t="s">
        <v>230</v>
      </c>
      <c r="D137" s="87" t="s">
        <v>191</v>
      </c>
      <c r="E137" s="88">
        <v>647.37000000000012</v>
      </c>
      <c r="F137" s="89">
        <f>ROUND(E137*0.2,2)+0.01</f>
        <v>129.47999999999999</v>
      </c>
      <c r="G137" s="91">
        <f>SUM(E137+F137)</f>
        <v>776.85000000000014</v>
      </c>
      <c r="H137" s="90"/>
      <c r="I137" s="88">
        <f>MROUND((E137*(1+Sheet1!$C$3)),0.01)+0.02</f>
        <v>665.18999999999994</v>
      </c>
      <c r="J137" s="89">
        <f>ROUND(I137*0.2,2)+0.01</f>
        <v>133.04999999999998</v>
      </c>
      <c r="K137" s="91">
        <f>SUM(I137+J137)</f>
        <v>798.2399999999999</v>
      </c>
      <c r="L137" s="9">
        <f t="shared" si="53"/>
        <v>21.389999999999759</v>
      </c>
      <c r="M137" s="8">
        <f t="shared" si="54"/>
        <v>2.7534273025680317E-2</v>
      </c>
    </row>
    <row r="138" spans="1:13" ht="16" thickBot="1" x14ac:dyDescent="0.4">
      <c r="A138" s="80">
        <f t="shared" si="40"/>
        <v>134</v>
      </c>
      <c r="B138" s="533" t="s">
        <v>198</v>
      </c>
      <c r="C138" s="86" t="s">
        <v>220</v>
      </c>
      <c r="D138" s="87" t="s">
        <v>191</v>
      </c>
      <c r="E138" s="534" t="s">
        <v>199</v>
      </c>
      <c r="F138" s="535"/>
      <c r="G138" s="535"/>
      <c r="H138" s="535"/>
      <c r="I138" s="535"/>
      <c r="J138" s="535"/>
      <c r="K138" s="536"/>
      <c r="L138" s="9"/>
      <c r="M138" s="8"/>
    </row>
    <row r="139" spans="1:13" ht="16" thickBot="1" x14ac:dyDescent="0.4">
      <c r="A139" s="80">
        <f t="shared" si="40"/>
        <v>135</v>
      </c>
      <c r="B139" s="533"/>
      <c r="C139" s="86" t="s">
        <v>230</v>
      </c>
      <c r="D139" s="87" t="s">
        <v>191</v>
      </c>
      <c r="E139" s="534" t="s">
        <v>199</v>
      </c>
      <c r="F139" s="535"/>
      <c r="G139" s="535"/>
      <c r="H139" s="535"/>
      <c r="I139" s="535"/>
      <c r="J139" s="535"/>
      <c r="K139" s="536"/>
      <c r="L139" s="9"/>
      <c r="M139" s="8"/>
    </row>
    <row r="140" spans="1:13" x14ac:dyDescent="0.35">
      <c r="E140" s="97"/>
      <c r="I140" s="97"/>
      <c r="L140" s="99"/>
    </row>
    <row r="141" spans="1:13" ht="30" customHeight="1" x14ac:dyDescent="0.35">
      <c r="B141" s="537" t="s">
        <v>231</v>
      </c>
      <c r="C141" s="538"/>
      <c r="D141" s="538"/>
      <c r="E141" s="538"/>
      <c r="F141" s="538"/>
      <c r="G141" s="538"/>
      <c r="I141" s="82"/>
      <c r="J141" s="82"/>
      <c r="K141" s="82"/>
      <c r="L141" s="99"/>
    </row>
  </sheetData>
  <mergeCells count="72">
    <mergeCell ref="B141:G141"/>
    <mergeCell ref="B122:B125"/>
    <mergeCell ref="B126:B129"/>
    <mergeCell ref="B130:B133"/>
    <mergeCell ref="E130:K130"/>
    <mergeCell ref="E131:K131"/>
    <mergeCell ref="E132:K132"/>
    <mergeCell ref="E133:K133"/>
    <mergeCell ref="B134:B135"/>
    <mergeCell ref="B136:B137"/>
    <mergeCell ref="B138:B139"/>
    <mergeCell ref="E138:K138"/>
    <mergeCell ref="E139:K139"/>
    <mergeCell ref="B110:B113"/>
    <mergeCell ref="B114:B117"/>
    <mergeCell ref="B118:B121"/>
    <mergeCell ref="E118:K118"/>
    <mergeCell ref="E119:K119"/>
    <mergeCell ref="E120:K120"/>
    <mergeCell ref="E121:K121"/>
    <mergeCell ref="B98:B101"/>
    <mergeCell ref="B102:B105"/>
    <mergeCell ref="B106:B109"/>
    <mergeCell ref="E106:K106"/>
    <mergeCell ref="E107:K107"/>
    <mergeCell ref="E108:K108"/>
    <mergeCell ref="E109:K109"/>
    <mergeCell ref="B77:B81"/>
    <mergeCell ref="B82:B86"/>
    <mergeCell ref="B87:B91"/>
    <mergeCell ref="B92:B96"/>
    <mergeCell ref="E92:K92"/>
    <mergeCell ref="E93:K93"/>
    <mergeCell ref="E94:K94"/>
    <mergeCell ref="E95:K95"/>
    <mergeCell ref="E96:K96"/>
    <mergeCell ref="B69:B70"/>
    <mergeCell ref="B71:B72"/>
    <mergeCell ref="B73:B74"/>
    <mergeCell ref="B75:B76"/>
    <mergeCell ref="E75:K75"/>
    <mergeCell ref="E76:K76"/>
    <mergeCell ref="B45:B50"/>
    <mergeCell ref="B51:B56"/>
    <mergeCell ref="B57:B62"/>
    <mergeCell ref="B63:B68"/>
    <mergeCell ref="E63:K63"/>
    <mergeCell ref="E64:K64"/>
    <mergeCell ref="E65:K65"/>
    <mergeCell ref="E66:K66"/>
    <mergeCell ref="E67:K67"/>
    <mergeCell ref="E68:K68"/>
    <mergeCell ref="E22:K22"/>
    <mergeCell ref="B23:B27"/>
    <mergeCell ref="B28:B32"/>
    <mergeCell ref="B33:B37"/>
    <mergeCell ref="B38:B42"/>
    <mergeCell ref="E38:K38"/>
    <mergeCell ref="E39:K39"/>
    <mergeCell ref="E40:K40"/>
    <mergeCell ref="E41:K41"/>
    <mergeCell ref="E42:K42"/>
    <mergeCell ref="B18:B22"/>
    <mergeCell ref="E18:K18"/>
    <mergeCell ref="E19:K19"/>
    <mergeCell ref="E20:K20"/>
    <mergeCell ref="E21:K21"/>
    <mergeCell ref="B1:C1"/>
    <mergeCell ref="L1:M1"/>
    <mergeCell ref="B3:B7"/>
    <mergeCell ref="B8:B12"/>
    <mergeCell ref="B13:B17"/>
  </mergeCells>
  <conditionalFormatting sqref="M3:M139">
    <cfRule type="cellIs" dxfId="42" priority="21" operator="equal">
      <formula>"NEW"</formula>
    </cfRule>
  </conditionalFormatting>
  <dataValidations disablePrompts="1" count="1">
    <dataValidation type="list" allowBlank="1" showInputMessage="1" showErrorMessage="1" sqref="D3:D139" xr:uid="{6970D785-EACD-4A35-A896-197D2F26DE41}">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6" fitToHeight="0" orientation="landscape" r:id="rId1"/>
  <headerFooter alignWithMargins="0">
    <oddHeader>&amp;L&amp;"Arial,Bold"&amp;16&amp;A&amp;C&amp;"Arial,Bold"&amp;16FEES AND CHARGES 2024/25</oddHeader>
    <oddFooter>&amp;L&amp;"Arial,Bold"&amp;16&amp;A&amp;C&amp;"Arial,Bold"&amp;16&amp;P</oddFooter>
  </headerFooter>
  <rowBreaks count="3" manualBreakCount="3">
    <brk id="42" max="16383" man="1"/>
    <brk id="81" max="12" man="1"/>
    <brk id="12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FB20-BE54-4ADC-90A3-2C14BAAE77A1}">
  <dimension ref="A1:AV94"/>
  <sheetViews>
    <sheetView zoomScaleNormal="100" workbookViewId="0">
      <selection sqref="A1:J1"/>
    </sheetView>
  </sheetViews>
  <sheetFormatPr defaultColWidth="0" defaultRowHeight="14" zeroHeight="1" x14ac:dyDescent="0.3"/>
  <cols>
    <col min="1" max="1" width="70.81640625" style="434" bestFit="1" customWidth="1"/>
    <col min="2" max="2" width="21.1796875" style="434" bestFit="1" customWidth="1"/>
    <col min="3" max="10" width="12.7265625" style="434" customWidth="1"/>
    <col min="11" max="11" width="9.1796875" style="434" customWidth="1"/>
    <col min="12" max="12" width="9.1796875" style="381" customWidth="1"/>
    <col min="13" max="48" width="0" style="434" hidden="1" customWidth="1"/>
    <col min="49" max="16384" width="9.1796875" style="434" hidden="1"/>
  </cols>
  <sheetData>
    <row r="1" spans="1:20" s="345" customFormat="1" ht="13.5" thickBot="1" x14ac:dyDescent="0.4">
      <c r="A1" s="539" t="s">
        <v>1491</v>
      </c>
      <c r="B1" s="539"/>
      <c r="C1" s="539"/>
      <c r="D1" s="539"/>
      <c r="E1" s="539"/>
      <c r="F1" s="539"/>
      <c r="G1" s="539"/>
      <c r="H1" s="539"/>
      <c r="I1" s="539"/>
      <c r="J1" s="539"/>
      <c r="K1" s="341"/>
      <c r="L1" s="343"/>
      <c r="M1" s="344"/>
      <c r="N1" s="344"/>
      <c r="O1" s="344"/>
      <c r="P1" s="344"/>
      <c r="Q1" s="344"/>
      <c r="T1" s="341"/>
    </row>
    <row r="2" spans="1:20" s="354" customFormat="1" ht="30" customHeight="1" thickTop="1" thickBot="1" x14ac:dyDescent="0.4">
      <c r="A2" s="347" t="s">
        <v>232</v>
      </c>
      <c r="B2" s="347" t="s">
        <v>233</v>
      </c>
      <c r="C2" s="348" t="s">
        <v>1469</v>
      </c>
      <c r="D2" s="348" t="s">
        <v>1470</v>
      </c>
      <c r="E2" s="349" t="s">
        <v>1471</v>
      </c>
      <c r="F2" s="349" t="s">
        <v>1472</v>
      </c>
      <c r="G2" s="350" t="s">
        <v>1473</v>
      </c>
      <c r="H2" s="350" t="s">
        <v>1474</v>
      </c>
      <c r="I2" s="351" t="s">
        <v>1475</v>
      </c>
      <c r="J2" s="351" t="s">
        <v>1476</v>
      </c>
      <c r="K2" s="346"/>
      <c r="L2" s="352"/>
      <c r="M2" s="353"/>
      <c r="N2" s="353"/>
      <c r="O2" s="353"/>
      <c r="P2" s="353"/>
      <c r="Q2" s="353"/>
      <c r="S2" s="355"/>
      <c r="T2" s="346"/>
    </row>
    <row r="3" spans="1:20" s="354" customFormat="1" ht="15" customHeight="1" thickTop="1" x14ac:dyDescent="0.35">
      <c r="A3" s="540" t="s">
        <v>234</v>
      </c>
      <c r="B3" s="356" t="s">
        <v>235</v>
      </c>
      <c r="C3" s="357">
        <v>2.9999999999999796</v>
      </c>
      <c r="D3" s="357">
        <v>2.2999999999999798</v>
      </c>
      <c r="E3" s="357">
        <v>1.3999999999999801</v>
      </c>
      <c r="F3" s="357">
        <v>1.1999999999999802</v>
      </c>
      <c r="G3" s="357">
        <v>1.2999999999999801</v>
      </c>
      <c r="H3" s="357">
        <v>1.0999999999999801</v>
      </c>
      <c r="I3" s="357">
        <v>1.0999999999999801</v>
      </c>
      <c r="J3" s="357">
        <v>0.99999999999997957</v>
      </c>
      <c r="K3" s="346"/>
      <c r="L3" s="358"/>
      <c r="M3" s="359"/>
      <c r="N3" s="359"/>
      <c r="O3" s="359"/>
      <c r="P3" s="359"/>
      <c r="Q3" s="359"/>
      <c r="T3" s="346"/>
    </row>
    <row r="4" spans="1:20" s="354" customFormat="1" ht="15" customHeight="1" x14ac:dyDescent="0.35">
      <c r="A4" s="541"/>
      <c r="B4" s="360" t="s">
        <v>236</v>
      </c>
      <c r="C4" s="357">
        <v>5.7999999999999803</v>
      </c>
      <c r="D4" s="357">
        <v>4.4999999999999805</v>
      </c>
      <c r="E4" s="357">
        <v>2.5999999999999801</v>
      </c>
      <c r="F4" s="357">
        <v>2.3999999999999804</v>
      </c>
      <c r="G4" s="357">
        <v>2.49999999999998</v>
      </c>
      <c r="H4" s="357">
        <v>2.1999999999999802</v>
      </c>
      <c r="I4" s="357">
        <v>2.1999999999999797</v>
      </c>
      <c r="J4" s="357">
        <v>1.99999999999998</v>
      </c>
      <c r="K4" s="346"/>
      <c r="L4" s="358"/>
      <c r="M4" s="359"/>
      <c r="N4" s="359"/>
      <c r="O4" s="359"/>
      <c r="P4" s="359"/>
      <c r="Q4" s="359"/>
      <c r="T4" s="346"/>
    </row>
    <row r="5" spans="1:20" s="354" customFormat="1" ht="15" customHeight="1" x14ac:dyDescent="0.35">
      <c r="A5" s="541"/>
      <c r="B5" s="360" t="s">
        <v>237</v>
      </c>
      <c r="C5" s="357">
        <v>8.6999999999999797</v>
      </c>
      <c r="D5" s="357">
        <v>6.5999999999999899</v>
      </c>
      <c r="E5" s="357">
        <v>3.9999999999999796</v>
      </c>
      <c r="F5" s="357">
        <v>3.5999999999999797</v>
      </c>
      <c r="G5" s="357">
        <v>3.7999999999999798</v>
      </c>
      <c r="H5" s="357">
        <v>3.2999999999999798</v>
      </c>
      <c r="I5" s="357">
        <v>3.2999999999999798</v>
      </c>
      <c r="J5" s="357">
        <v>2.99999999999998</v>
      </c>
      <c r="K5" s="346"/>
      <c r="L5" s="358"/>
      <c r="M5" s="359"/>
      <c r="N5" s="359"/>
      <c r="O5" s="359"/>
      <c r="P5" s="359"/>
      <c r="Q5" s="359"/>
      <c r="T5" s="346"/>
    </row>
    <row r="6" spans="1:20" s="354" customFormat="1" ht="15" customHeight="1" x14ac:dyDescent="0.35">
      <c r="A6" s="541"/>
      <c r="B6" s="360" t="s">
        <v>238</v>
      </c>
      <c r="C6" s="357">
        <v>11.299999999999979</v>
      </c>
      <c r="D6" s="357">
        <v>8.5999999999999908</v>
      </c>
      <c r="E6" s="357">
        <v>5.1999999999999806</v>
      </c>
      <c r="F6" s="357">
        <v>4.7999999999999803</v>
      </c>
      <c r="G6" s="357">
        <v>5.19999999999997</v>
      </c>
      <c r="H6" s="357">
        <v>4.3999999999999799</v>
      </c>
      <c r="I6" s="357">
        <v>4.3999999999999799</v>
      </c>
      <c r="J6" s="357">
        <v>3.99999999999998</v>
      </c>
      <c r="K6" s="346"/>
      <c r="L6" s="358"/>
      <c r="M6" s="359"/>
      <c r="N6" s="359"/>
      <c r="O6" s="359"/>
      <c r="P6" s="359"/>
      <c r="Q6" s="359"/>
      <c r="T6" s="346"/>
    </row>
    <row r="7" spans="1:20" s="354" customFormat="1" ht="15" customHeight="1" x14ac:dyDescent="0.35">
      <c r="A7" s="541"/>
      <c r="B7" s="362" t="s">
        <v>239</v>
      </c>
      <c r="C7" s="357">
        <v>16.199999999999989</v>
      </c>
      <c r="D7" s="357">
        <v>13</v>
      </c>
      <c r="E7" s="357">
        <v>7.7999999999999696</v>
      </c>
      <c r="F7" s="357">
        <v>6.9999999999999796</v>
      </c>
      <c r="G7" s="357">
        <v>7.3999999999999702</v>
      </c>
      <c r="H7" s="357">
        <v>6.4999999999999805</v>
      </c>
      <c r="I7" s="357">
        <v>6.2999999999999803</v>
      </c>
      <c r="J7" s="357">
        <v>5.9999999999999698</v>
      </c>
      <c r="K7" s="346"/>
      <c r="L7" s="358"/>
      <c r="M7" s="359"/>
      <c r="N7" s="359"/>
      <c r="O7" s="359"/>
      <c r="P7" s="359"/>
      <c r="Q7" s="359"/>
      <c r="T7" s="346"/>
    </row>
    <row r="8" spans="1:20" s="354" customFormat="1" ht="15" customHeight="1" x14ac:dyDescent="0.35">
      <c r="A8" s="541"/>
      <c r="B8" s="362" t="s">
        <v>1477</v>
      </c>
      <c r="C8" s="357">
        <v>17.999999999999989</v>
      </c>
      <c r="D8" s="357">
        <v>15</v>
      </c>
      <c r="E8" s="357">
        <v>8.9999999999999893</v>
      </c>
      <c r="F8" s="357">
        <v>8.7999999999999901</v>
      </c>
      <c r="G8" s="357">
        <v>8.9999999999999805</v>
      </c>
      <c r="H8" s="357">
        <v>8.1999999999999904</v>
      </c>
      <c r="I8" s="357">
        <v>8.1999999999999797</v>
      </c>
      <c r="J8" s="357">
        <v>7.9999999999999698</v>
      </c>
      <c r="K8" s="346"/>
      <c r="L8" s="358"/>
      <c r="M8" s="359"/>
      <c r="N8" s="359"/>
      <c r="O8" s="359"/>
      <c r="P8" s="359"/>
      <c r="Q8" s="359"/>
      <c r="T8" s="346"/>
    </row>
    <row r="9" spans="1:20" s="354" customFormat="1" ht="15" customHeight="1" x14ac:dyDescent="0.35">
      <c r="A9" s="541"/>
      <c r="B9" s="362" t="s">
        <v>240</v>
      </c>
      <c r="C9" s="357">
        <v>18.999999999999989</v>
      </c>
      <c r="D9" s="357">
        <v>16</v>
      </c>
      <c r="E9" s="357">
        <v>9.9999999999999805</v>
      </c>
      <c r="F9" s="357">
        <v>9.9999999999999805</v>
      </c>
      <c r="G9" s="357">
        <v>9.9999999999999787</v>
      </c>
      <c r="H9" s="357">
        <v>10</v>
      </c>
      <c r="I9" s="357">
        <v>9.9999999999999805</v>
      </c>
      <c r="J9" s="357">
        <v>9.9999999999999805</v>
      </c>
      <c r="K9" s="346"/>
      <c r="L9" s="358"/>
      <c r="M9" s="359"/>
      <c r="N9" s="359"/>
      <c r="O9" s="359"/>
      <c r="P9" s="359"/>
      <c r="Q9" s="359"/>
      <c r="T9" s="346"/>
    </row>
    <row r="10" spans="1:20" s="354" customFormat="1" ht="15" customHeight="1" x14ac:dyDescent="0.35">
      <c r="A10" s="541"/>
      <c r="B10" s="362" t="s">
        <v>241</v>
      </c>
      <c r="C10" s="357">
        <v>20</v>
      </c>
      <c r="D10" s="357">
        <v>17</v>
      </c>
      <c r="E10" s="363"/>
      <c r="F10" s="364"/>
      <c r="G10" s="365"/>
      <c r="H10" s="364"/>
      <c r="I10" s="364"/>
      <c r="J10" s="364"/>
      <c r="K10" s="346"/>
      <c r="L10" s="358"/>
      <c r="M10" s="359"/>
      <c r="N10" s="366"/>
      <c r="O10" s="359"/>
      <c r="P10" s="359"/>
      <c r="Q10" s="359"/>
      <c r="T10" s="346"/>
    </row>
    <row r="11" spans="1:20" s="354" customFormat="1" ht="15" customHeight="1" x14ac:dyDescent="0.35">
      <c r="A11" s="542" t="s">
        <v>1478</v>
      </c>
      <c r="B11" s="368" t="s">
        <v>235</v>
      </c>
      <c r="C11" s="357">
        <v>2.9999999999999796</v>
      </c>
      <c r="D11" s="357">
        <v>2.2999999999999798</v>
      </c>
      <c r="E11" s="369"/>
      <c r="F11" s="367"/>
      <c r="G11" s="370"/>
      <c r="H11" s="367"/>
      <c r="I11" s="367"/>
      <c r="J11" s="367"/>
      <c r="K11" s="346"/>
      <c r="L11" s="358"/>
      <c r="M11" s="359"/>
      <c r="N11" s="366"/>
      <c r="O11" s="359"/>
      <c r="P11" s="359"/>
      <c r="Q11" s="359"/>
      <c r="T11" s="346"/>
    </row>
    <row r="12" spans="1:20" s="354" customFormat="1" ht="15" customHeight="1" x14ac:dyDescent="0.35">
      <c r="A12" s="543"/>
      <c r="B12" s="362" t="s">
        <v>237</v>
      </c>
      <c r="C12" s="357">
        <v>5</v>
      </c>
      <c r="D12" s="357">
        <v>5</v>
      </c>
      <c r="E12" s="369"/>
      <c r="F12" s="367"/>
      <c r="G12" s="370"/>
      <c r="H12" s="367"/>
      <c r="I12" s="367"/>
      <c r="J12" s="367"/>
      <c r="K12" s="346"/>
      <c r="L12" s="358"/>
      <c r="M12" s="359"/>
      <c r="N12" s="366"/>
      <c r="O12" s="359"/>
      <c r="P12" s="359"/>
      <c r="Q12" s="359"/>
      <c r="T12" s="346"/>
    </row>
    <row r="13" spans="1:20" s="354" customFormat="1" ht="15" customHeight="1" x14ac:dyDescent="0.35">
      <c r="A13" s="552" t="s">
        <v>242</v>
      </c>
      <c r="B13" s="368" t="s">
        <v>235</v>
      </c>
      <c r="C13" s="361">
        <v>2.9999999999999796</v>
      </c>
      <c r="D13" s="361">
        <v>2.2999999999999798</v>
      </c>
      <c r="E13" s="361">
        <v>1.3999999999999801</v>
      </c>
      <c r="F13" s="361">
        <v>1.1999999999999802</v>
      </c>
      <c r="G13" s="361">
        <v>1.2999999999999801</v>
      </c>
      <c r="H13" s="361">
        <v>1.0999999999999801</v>
      </c>
      <c r="I13" s="361">
        <v>0</v>
      </c>
      <c r="J13" s="361">
        <v>0</v>
      </c>
      <c r="K13" s="346"/>
      <c r="L13" s="358"/>
      <c r="M13" s="359"/>
      <c r="N13" s="359"/>
      <c r="O13" s="359"/>
      <c r="P13" s="359"/>
      <c r="Q13" s="359"/>
      <c r="T13" s="346"/>
    </row>
    <row r="14" spans="1:20" s="354" customFormat="1" ht="15" customHeight="1" x14ac:dyDescent="0.35">
      <c r="A14" s="552"/>
      <c r="B14" s="362" t="s">
        <v>236</v>
      </c>
      <c r="C14" s="361">
        <v>5.7999999999999803</v>
      </c>
      <c r="D14" s="361">
        <v>4.4999999999999805</v>
      </c>
      <c r="E14" s="361">
        <v>2.5999999999999801</v>
      </c>
      <c r="F14" s="361">
        <v>2.3999999999999804</v>
      </c>
      <c r="G14" s="361">
        <v>2.49999999999998</v>
      </c>
      <c r="H14" s="361">
        <v>2.1999999999999802</v>
      </c>
      <c r="I14" s="361">
        <v>2.1999999999999797</v>
      </c>
      <c r="J14" s="361">
        <v>1.99999999999998</v>
      </c>
      <c r="K14" s="346"/>
      <c r="L14" s="358"/>
      <c r="M14" s="359"/>
      <c r="N14" s="359"/>
      <c r="O14" s="359"/>
      <c r="P14" s="359"/>
      <c r="Q14" s="359"/>
      <c r="T14" s="346"/>
    </row>
    <row r="15" spans="1:20" s="354" customFormat="1" ht="15" customHeight="1" x14ac:dyDescent="0.35">
      <c r="A15" s="552"/>
      <c r="B15" s="362" t="s">
        <v>237</v>
      </c>
      <c r="C15" s="361">
        <v>8.6999999999999797</v>
      </c>
      <c r="D15" s="361">
        <v>6.5999999999999899</v>
      </c>
      <c r="E15" s="361">
        <v>3.9999999999999796</v>
      </c>
      <c r="F15" s="361">
        <v>3.5999999999999797</v>
      </c>
      <c r="G15" s="361">
        <v>3.7999999999999798</v>
      </c>
      <c r="H15" s="361">
        <v>3.2999999999999798</v>
      </c>
      <c r="I15" s="361">
        <v>3.2999999999999798</v>
      </c>
      <c r="J15" s="361">
        <v>2.99999999999998</v>
      </c>
      <c r="K15" s="346"/>
      <c r="L15" s="358"/>
      <c r="M15" s="359"/>
      <c r="N15" s="359"/>
      <c r="O15" s="359"/>
      <c r="P15" s="359"/>
      <c r="Q15" s="359"/>
      <c r="T15" s="346"/>
    </row>
    <row r="16" spans="1:20" s="354" customFormat="1" ht="15" customHeight="1" x14ac:dyDescent="0.35">
      <c r="A16" s="552"/>
      <c r="B16" s="362" t="s">
        <v>238</v>
      </c>
      <c r="C16" s="361">
        <v>11.299999999999979</v>
      </c>
      <c r="D16" s="361">
        <v>8.5999999999999908</v>
      </c>
      <c r="E16" s="361">
        <v>5.1999999999999806</v>
      </c>
      <c r="F16" s="361">
        <v>4.7999999999999803</v>
      </c>
      <c r="G16" s="361">
        <v>5.19999999999997</v>
      </c>
      <c r="H16" s="361">
        <v>4.3999999999999799</v>
      </c>
      <c r="I16" s="361">
        <v>4.3999999999999799</v>
      </c>
      <c r="J16" s="361">
        <v>3.99999999999998</v>
      </c>
      <c r="K16" s="346"/>
      <c r="L16" s="358"/>
      <c r="M16" s="359"/>
      <c r="N16" s="359"/>
      <c r="O16" s="359"/>
      <c r="P16" s="359"/>
      <c r="Q16" s="359"/>
      <c r="T16" s="346"/>
    </row>
    <row r="17" spans="1:35" s="346" customFormat="1" ht="15" customHeight="1" x14ac:dyDescent="0.35">
      <c r="A17" s="552"/>
      <c r="B17" s="362" t="s">
        <v>239</v>
      </c>
      <c r="C17" s="361">
        <v>16.199999999999989</v>
      </c>
      <c r="D17" s="361">
        <v>13</v>
      </c>
      <c r="E17" s="361">
        <v>7.7999999999999696</v>
      </c>
      <c r="F17" s="361">
        <v>6.9999999999999796</v>
      </c>
      <c r="G17" s="361">
        <v>7.3999999999999702</v>
      </c>
      <c r="H17" s="361">
        <v>6.4999999999999805</v>
      </c>
      <c r="I17" s="361">
        <v>6.3999999999999808</v>
      </c>
      <c r="J17" s="361">
        <v>5.9999999999999698</v>
      </c>
      <c r="L17" s="358"/>
      <c r="M17" s="359"/>
      <c r="N17" s="359"/>
      <c r="O17" s="359"/>
      <c r="P17" s="359"/>
      <c r="Q17" s="359"/>
      <c r="R17" s="354"/>
      <c r="S17" s="354"/>
      <c r="U17" s="354"/>
      <c r="V17" s="354"/>
      <c r="W17" s="354"/>
      <c r="X17" s="354"/>
      <c r="Y17" s="354"/>
      <c r="Z17" s="354"/>
      <c r="AA17" s="354"/>
      <c r="AB17" s="354"/>
      <c r="AC17" s="354"/>
      <c r="AD17" s="354"/>
      <c r="AE17" s="354"/>
      <c r="AF17" s="354"/>
      <c r="AG17" s="354"/>
      <c r="AH17" s="354"/>
      <c r="AI17" s="354"/>
    </row>
    <row r="18" spans="1:35" s="346" customFormat="1" ht="15" customHeight="1" x14ac:dyDescent="0.35">
      <c r="A18" s="552"/>
      <c r="B18" s="362" t="s">
        <v>1477</v>
      </c>
      <c r="C18" s="361">
        <v>17.999999999999989</v>
      </c>
      <c r="D18" s="361">
        <v>15</v>
      </c>
      <c r="E18" s="361">
        <v>8.9999999999999893</v>
      </c>
      <c r="F18" s="361">
        <v>8.7999999999999901</v>
      </c>
      <c r="G18" s="361">
        <v>8.9999999999999805</v>
      </c>
      <c r="H18" s="361">
        <v>8.1999999999999904</v>
      </c>
      <c r="I18" s="361">
        <v>8.1999999999999797</v>
      </c>
      <c r="J18" s="361">
        <v>7.9999999999999698</v>
      </c>
      <c r="L18" s="358"/>
      <c r="M18" s="359"/>
      <c r="N18" s="359"/>
      <c r="O18" s="359"/>
      <c r="P18" s="359"/>
      <c r="Q18" s="359"/>
      <c r="R18" s="354"/>
      <c r="S18" s="354"/>
      <c r="U18" s="354"/>
      <c r="V18" s="354"/>
      <c r="W18" s="354"/>
      <c r="X18" s="354"/>
      <c r="Y18" s="354"/>
      <c r="Z18" s="354"/>
      <c r="AA18" s="354"/>
      <c r="AB18" s="354"/>
      <c r="AC18" s="354"/>
      <c r="AD18" s="354"/>
      <c r="AE18" s="354"/>
      <c r="AF18" s="354"/>
      <c r="AG18" s="354"/>
      <c r="AH18" s="354"/>
      <c r="AI18" s="354"/>
    </row>
    <row r="19" spans="1:35" s="346" customFormat="1" ht="15" customHeight="1" x14ac:dyDescent="0.35">
      <c r="A19" s="552"/>
      <c r="B19" s="362" t="s">
        <v>240</v>
      </c>
      <c r="C19" s="361">
        <v>18.999999999999989</v>
      </c>
      <c r="D19" s="361">
        <v>16</v>
      </c>
      <c r="E19" s="361">
        <v>9.9999999999999805</v>
      </c>
      <c r="F19" s="361">
        <v>9.9999999999999805</v>
      </c>
      <c r="G19" s="361">
        <v>9.9999999999999787</v>
      </c>
      <c r="H19" s="361">
        <v>10</v>
      </c>
      <c r="I19" s="361">
        <v>9.9999999999999805</v>
      </c>
      <c r="J19" s="361">
        <v>9.9999999999999805</v>
      </c>
      <c r="L19" s="358"/>
      <c r="M19" s="359"/>
      <c r="N19" s="359"/>
      <c r="O19" s="359"/>
      <c r="P19" s="359"/>
      <c r="Q19" s="359"/>
      <c r="R19" s="354"/>
      <c r="S19" s="354"/>
      <c r="U19" s="354"/>
      <c r="V19" s="354"/>
      <c r="W19" s="354"/>
      <c r="X19" s="354"/>
      <c r="Y19" s="354"/>
      <c r="Z19" s="354"/>
      <c r="AA19" s="354"/>
      <c r="AB19" s="354"/>
      <c r="AC19" s="354"/>
      <c r="AD19" s="354"/>
      <c r="AE19" s="354"/>
      <c r="AF19" s="354"/>
      <c r="AG19" s="354"/>
      <c r="AH19" s="354"/>
      <c r="AI19" s="354"/>
    </row>
    <row r="20" spans="1:35" s="346" customFormat="1" ht="15" customHeight="1" x14ac:dyDescent="0.35">
      <c r="A20" s="552"/>
      <c r="B20" s="362" t="s">
        <v>241</v>
      </c>
      <c r="C20" s="361">
        <v>20</v>
      </c>
      <c r="D20" s="361">
        <v>17</v>
      </c>
      <c r="E20" s="363"/>
      <c r="F20" s="364"/>
      <c r="G20" s="365"/>
      <c r="H20" s="364"/>
      <c r="I20" s="364"/>
      <c r="J20" s="364"/>
      <c r="L20" s="358"/>
      <c r="M20" s="359"/>
      <c r="N20" s="366"/>
      <c r="O20" s="359"/>
      <c r="P20" s="359"/>
      <c r="Q20" s="359"/>
      <c r="R20" s="354"/>
      <c r="S20" s="354"/>
      <c r="U20" s="354"/>
      <c r="V20" s="354"/>
      <c r="W20" s="354"/>
      <c r="X20" s="354"/>
      <c r="Y20" s="354"/>
      <c r="Z20" s="354"/>
      <c r="AA20" s="354"/>
      <c r="AB20" s="354"/>
      <c r="AC20" s="354"/>
      <c r="AD20" s="354"/>
      <c r="AE20" s="354"/>
      <c r="AF20" s="354"/>
      <c r="AG20" s="354"/>
      <c r="AH20" s="354"/>
      <c r="AI20" s="354"/>
    </row>
    <row r="21" spans="1:35" s="346" customFormat="1" ht="15" customHeight="1" x14ac:dyDescent="0.35">
      <c r="A21" s="553" t="s">
        <v>1479</v>
      </c>
      <c r="B21" s="368" t="s">
        <v>235</v>
      </c>
      <c r="C21" s="361"/>
      <c r="D21" s="361"/>
      <c r="E21" s="361">
        <v>1.4</v>
      </c>
      <c r="F21" s="367"/>
      <c r="G21" s="370"/>
      <c r="H21" s="367"/>
      <c r="I21" s="367"/>
      <c r="J21" s="367"/>
      <c r="L21" s="358"/>
      <c r="M21" s="359"/>
      <c r="N21" s="366"/>
      <c r="O21" s="359"/>
      <c r="P21" s="359"/>
      <c r="Q21" s="359"/>
      <c r="R21" s="354"/>
      <c r="S21" s="354"/>
      <c r="U21" s="354"/>
      <c r="V21" s="354"/>
      <c r="W21" s="354"/>
      <c r="X21" s="354"/>
      <c r="Y21" s="354"/>
      <c r="Z21" s="354"/>
      <c r="AA21" s="354"/>
      <c r="AB21" s="354"/>
      <c r="AC21" s="354"/>
      <c r="AD21" s="354"/>
      <c r="AE21" s="354"/>
      <c r="AF21" s="354"/>
      <c r="AG21" s="354"/>
      <c r="AH21" s="354"/>
      <c r="AI21" s="354"/>
    </row>
    <row r="22" spans="1:35" s="346" customFormat="1" ht="15" customHeight="1" x14ac:dyDescent="0.35">
      <c r="A22" s="554"/>
      <c r="B22" s="368" t="s">
        <v>239</v>
      </c>
      <c r="C22" s="361"/>
      <c r="D22" s="361"/>
      <c r="E22" s="361">
        <v>4</v>
      </c>
      <c r="F22" s="367"/>
      <c r="G22" s="370"/>
      <c r="H22" s="367"/>
      <c r="I22" s="367"/>
      <c r="J22" s="367"/>
      <c r="L22" s="358"/>
      <c r="M22" s="359"/>
      <c r="N22" s="366"/>
      <c r="O22" s="359"/>
      <c r="P22" s="359"/>
      <c r="Q22" s="359"/>
      <c r="R22" s="354"/>
      <c r="S22" s="354"/>
      <c r="U22" s="354"/>
      <c r="V22" s="354"/>
      <c r="W22" s="354"/>
      <c r="X22" s="354"/>
      <c r="Y22" s="354"/>
      <c r="Z22" s="354"/>
      <c r="AA22" s="354"/>
      <c r="AB22" s="354"/>
      <c r="AC22" s="354"/>
      <c r="AD22" s="354"/>
      <c r="AE22" s="354"/>
      <c r="AF22" s="354"/>
      <c r="AG22" s="354"/>
      <c r="AH22" s="354"/>
      <c r="AI22" s="354"/>
    </row>
    <row r="23" spans="1:35" s="346" customFormat="1" ht="15" customHeight="1" x14ac:dyDescent="0.35">
      <c r="A23" s="542" t="s">
        <v>1480</v>
      </c>
      <c r="B23" s="368" t="s">
        <v>235</v>
      </c>
      <c r="C23" s="361">
        <v>2.9999999999999796</v>
      </c>
      <c r="D23" s="361">
        <v>2.2999999999999798</v>
      </c>
      <c r="E23" s="369"/>
      <c r="F23" s="367"/>
      <c r="G23" s="370"/>
      <c r="H23" s="367"/>
      <c r="I23" s="367"/>
      <c r="J23" s="367"/>
      <c r="L23" s="358"/>
      <c r="M23" s="359"/>
      <c r="N23" s="366"/>
      <c r="O23" s="359"/>
      <c r="P23" s="359"/>
      <c r="Q23" s="359"/>
      <c r="R23" s="354"/>
      <c r="S23" s="354"/>
      <c r="U23" s="354"/>
      <c r="V23" s="354"/>
      <c r="W23" s="354"/>
      <c r="X23" s="354"/>
      <c r="Y23" s="354"/>
      <c r="Z23" s="354"/>
      <c r="AA23" s="354"/>
      <c r="AB23" s="354"/>
      <c r="AC23" s="354"/>
      <c r="AD23" s="354"/>
      <c r="AE23" s="354"/>
      <c r="AF23" s="354"/>
      <c r="AG23" s="354"/>
      <c r="AH23" s="354"/>
      <c r="AI23" s="354"/>
    </row>
    <row r="24" spans="1:35" s="346" customFormat="1" ht="15" customHeight="1" x14ac:dyDescent="0.35">
      <c r="A24" s="543"/>
      <c r="B24" s="362" t="s">
        <v>237</v>
      </c>
      <c r="C24" s="361">
        <v>5</v>
      </c>
      <c r="D24" s="361">
        <v>5</v>
      </c>
      <c r="E24" s="372"/>
      <c r="F24" s="373"/>
      <c r="G24" s="374"/>
      <c r="H24" s="373"/>
      <c r="I24" s="367"/>
      <c r="J24" s="367"/>
      <c r="L24" s="358"/>
      <c r="M24" s="359"/>
      <c r="N24" s="366"/>
      <c r="O24" s="359"/>
      <c r="P24" s="359"/>
      <c r="Q24" s="359"/>
      <c r="R24" s="354"/>
      <c r="S24" s="354"/>
      <c r="U24" s="354"/>
      <c r="V24" s="354"/>
      <c r="W24" s="354"/>
      <c r="X24" s="354"/>
      <c r="Y24" s="354"/>
      <c r="Z24" s="354"/>
      <c r="AA24" s="354"/>
      <c r="AB24" s="354"/>
      <c r="AC24" s="354"/>
      <c r="AD24" s="354"/>
      <c r="AE24" s="354"/>
      <c r="AF24" s="354"/>
      <c r="AG24" s="354"/>
      <c r="AH24" s="354"/>
      <c r="AI24" s="354"/>
    </row>
    <row r="25" spans="1:35" s="346" customFormat="1" ht="15" customHeight="1" x14ac:dyDescent="0.25">
      <c r="A25" s="375" t="s">
        <v>243</v>
      </c>
      <c r="B25" s="376" t="s">
        <v>244</v>
      </c>
      <c r="C25" s="361">
        <v>20</v>
      </c>
      <c r="D25" s="361">
        <v>20</v>
      </c>
      <c r="E25" s="361">
        <v>12.5</v>
      </c>
      <c r="F25" s="361">
        <v>12.5</v>
      </c>
      <c r="G25" s="361">
        <v>10</v>
      </c>
      <c r="H25" s="361">
        <v>10</v>
      </c>
      <c r="I25" s="377"/>
      <c r="J25" s="371" t="s">
        <v>245</v>
      </c>
      <c r="L25" s="358"/>
      <c r="M25" s="359"/>
      <c r="N25" s="359"/>
      <c r="O25" s="359"/>
      <c r="P25" s="366"/>
      <c r="Q25" s="378"/>
      <c r="R25" s="354"/>
      <c r="S25" s="354"/>
      <c r="U25" s="354"/>
      <c r="V25" s="354"/>
      <c r="W25" s="354"/>
      <c r="X25" s="354"/>
      <c r="Y25" s="354"/>
      <c r="Z25" s="354"/>
      <c r="AA25" s="354"/>
      <c r="AB25" s="354"/>
      <c r="AC25" s="354"/>
      <c r="AD25" s="354"/>
      <c r="AE25" s="354"/>
      <c r="AF25" s="354"/>
      <c r="AG25" s="354"/>
      <c r="AH25" s="354"/>
      <c r="AI25" s="354"/>
    </row>
    <row r="26" spans="1:35" s="346" customFormat="1" ht="15" customHeight="1" x14ac:dyDescent="0.25">
      <c r="A26" s="379" t="s">
        <v>246</v>
      </c>
      <c r="B26" s="360" t="s">
        <v>244</v>
      </c>
      <c r="C26" s="361">
        <v>45</v>
      </c>
      <c r="D26" s="361">
        <v>45</v>
      </c>
      <c r="E26" s="361">
        <v>30</v>
      </c>
      <c r="F26" s="361">
        <v>30</v>
      </c>
      <c r="G26" s="361">
        <v>28</v>
      </c>
      <c r="H26" s="361">
        <v>28</v>
      </c>
      <c r="I26" s="377"/>
      <c r="J26" s="371" t="s">
        <v>245</v>
      </c>
      <c r="L26" s="358"/>
      <c r="M26" s="359"/>
      <c r="N26" s="359"/>
      <c r="O26" s="359"/>
      <c r="P26" s="366"/>
      <c r="Q26" s="378"/>
      <c r="R26" s="354"/>
      <c r="S26" s="354"/>
      <c r="U26" s="354"/>
      <c r="V26" s="354"/>
      <c r="W26" s="354"/>
      <c r="X26" s="354"/>
      <c r="Y26" s="354"/>
      <c r="Z26" s="354"/>
      <c r="AA26" s="354"/>
      <c r="AB26" s="354"/>
      <c r="AC26" s="354"/>
      <c r="AD26" s="354"/>
      <c r="AE26" s="354"/>
      <c r="AF26" s="354"/>
      <c r="AG26" s="354"/>
      <c r="AH26" s="354"/>
      <c r="AI26" s="354"/>
    </row>
    <row r="27" spans="1:35" s="346" customFormat="1" ht="15" customHeight="1" thickBot="1" x14ac:dyDescent="0.3">
      <c r="A27" s="380" t="s">
        <v>1481</v>
      </c>
      <c r="B27" s="342"/>
      <c r="C27" s="367"/>
      <c r="D27" s="367"/>
      <c r="E27" s="367"/>
      <c r="F27" s="367"/>
      <c r="G27" s="367"/>
      <c r="H27" s="367"/>
      <c r="I27" s="370"/>
      <c r="J27" s="371"/>
      <c r="L27" s="358"/>
      <c r="M27" s="359"/>
      <c r="N27" s="359"/>
      <c r="O27" s="359"/>
      <c r="P27" s="366"/>
      <c r="Q27" s="378"/>
      <c r="R27" s="354"/>
      <c r="S27" s="354"/>
      <c r="U27" s="354"/>
      <c r="V27" s="354"/>
      <c r="W27" s="354"/>
      <c r="X27" s="354"/>
      <c r="Y27" s="354"/>
      <c r="Z27" s="354"/>
      <c r="AA27" s="354"/>
      <c r="AB27" s="354"/>
      <c r="AC27" s="354"/>
      <c r="AD27" s="354"/>
      <c r="AE27" s="354"/>
      <c r="AF27" s="354"/>
      <c r="AG27" s="354"/>
      <c r="AH27" s="354"/>
      <c r="AI27" s="354"/>
    </row>
    <row r="28" spans="1:35" s="381" customFormat="1" ht="14.5" hidden="1" thickBot="1" x14ac:dyDescent="0.35"/>
    <row r="29" spans="1:35" s="346" customFormat="1" ht="30" customHeight="1" thickTop="1" thickBot="1" x14ac:dyDescent="0.4">
      <c r="A29" s="347" t="s">
        <v>232</v>
      </c>
      <c r="B29" s="347" t="s">
        <v>233</v>
      </c>
      <c r="C29" s="348" t="s">
        <v>1482</v>
      </c>
      <c r="D29" s="348" t="s">
        <v>1470</v>
      </c>
      <c r="E29" s="349" t="s">
        <v>1471</v>
      </c>
      <c r="F29" s="349" t="s">
        <v>1472</v>
      </c>
      <c r="G29" s="350" t="s">
        <v>1473</v>
      </c>
      <c r="H29" s="350" t="s">
        <v>1474</v>
      </c>
      <c r="I29" s="351" t="s">
        <v>1475</v>
      </c>
      <c r="J29" s="351" t="s">
        <v>1476</v>
      </c>
      <c r="L29" s="352"/>
      <c r="M29" s="353"/>
      <c r="N29" s="353"/>
      <c r="O29" s="353"/>
      <c r="P29" s="353"/>
      <c r="Q29" s="353"/>
      <c r="R29" s="354"/>
      <c r="S29" s="354"/>
      <c r="U29" s="354"/>
      <c r="V29" s="354"/>
      <c r="W29" s="354"/>
      <c r="X29" s="354"/>
      <c r="Y29" s="354"/>
      <c r="Z29" s="354"/>
      <c r="AA29" s="354"/>
      <c r="AB29" s="354"/>
      <c r="AC29" s="354"/>
      <c r="AD29" s="354"/>
      <c r="AE29" s="354"/>
      <c r="AF29" s="354"/>
      <c r="AG29" s="354"/>
      <c r="AH29" s="354"/>
      <c r="AI29" s="354"/>
    </row>
    <row r="30" spans="1:35" s="346" customFormat="1" ht="15" customHeight="1" thickTop="1" x14ac:dyDescent="0.35">
      <c r="A30" s="382" t="s">
        <v>247</v>
      </c>
      <c r="B30" s="383" t="s">
        <v>248</v>
      </c>
      <c r="C30" s="384">
        <v>520</v>
      </c>
      <c r="D30" s="384">
        <v>520</v>
      </c>
      <c r="E30" s="385"/>
      <c r="F30" s="386"/>
      <c r="G30" s="384">
        <v>234</v>
      </c>
      <c r="H30" s="384">
        <v>234</v>
      </c>
      <c r="I30" s="385"/>
      <c r="J30" s="387" t="s">
        <v>245</v>
      </c>
      <c r="L30" s="358"/>
      <c r="M30" s="359"/>
      <c r="N30" s="359"/>
      <c r="O30" s="359"/>
      <c r="P30" s="366"/>
      <c r="Q30" s="378"/>
      <c r="R30" s="354"/>
      <c r="S30" s="354"/>
      <c r="U30" s="354"/>
      <c r="V30" s="354"/>
      <c r="W30" s="354"/>
      <c r="X30" s="354"/>
      <c r="Y30" s="354"/>
      <c r="Z30" s="354"/>
      <c r="AA30" s="354"/>
      <c r="AB30" s="354"/>
      <c r="AC30" s="354"/>
      <c r="AD30" s="354"/>
      <c r="AE30" s="354"/>
      <c r="AF30" s="354"/>
      <c r="AG30" s="354"/>
      <c r="AH30" s="354"/>
      <c r="AI30" s="354"/>
    </row>
    <row r="31" spans="1:35" s="346" customFormat="1" ht="15" customHeight="1" x14ac:dyDescent="0.35">
      <c r="A31" s="388"/>
      <c r="B31" s="389"/>
      <c r="C31" s="390"/>
      <c r="D31" s="390"/>
      <c r="E31" s="385"/>
      <c r="F31" s="385"/>
      <c r="G31" s="390"/>
      <c r="H31" s="390"/>
      <c r="I31" s="385"/>
      <c r="J31" s="387"/>
      <c r="L31" s="358"/>
      <c r="M31" s="359"/>
      <c r="N31" s="359"/>
      <c r="O31" s="359"/>
      <c r="P31" s="366"/>
      <c r="Q31" s="378"/>
      <c r="R31" s="354"/>
      <c r="S31" s="354"/>
      <c r="U31" s="354"/>
      <c r="V31" s="354"/>
      <c r="W31" s="354"/>
      <c r="X31" s="354"/>
      <c r="Y31" s="354"/>
      <c r="Z31" s="354"/>
      <c r="AA31" s="354"/>
      <c r="AB31" s="354"/>
      <c r="AC31" s="354"/>
      <c r="AD31" s="354"/>
      <c r="AE31" s="354"/>
      <c r="AF31" s="354"/>
      <c r="AG31" s="354"/>
      <c r="AH31" s="354"/>
      <c r="AI31" s="354"/>
    </row>
    <row r="32" spans="1:35" s="346" customFormat="1" ht="9" customHeight="1" thickBot="1" x14ac:dyDescent="0.3">
      <c r="A32" s="388"/>
      <c r="B32" s="389"/>
      <c r="C32" s="385"/>
      <c r="D32" s="385"/>
      <c r="E32" s="385"/>
      <c r="F32" s="387"/>
      <c r="G32" s="385"/>
      <c r="H32" s="385"/>
      <c r="I32" s="385"/>
      <c r="J32" s="387"/>
      <c r="L32" s="391"/>
      <c r="M32" s="392"/>
      <c r="N32" s="393"/>
      <c r="O32" s="393"/>
      <c r="P32" s="393"/>
      <c r="Q32" s="393"/>
      <c r="R32" s="354"/>
      <c r="S32" s="354"/>
      <c r="U32" s="354"/>
      <c r="V32" s="354"/>
      <c r="W32" s="354"/>
      <c r="X32" s="354"/>
      <c r="Y32" s="354"/>
      <c r="Z32" s="354"/>
      <c r="AA32" s="354"/>
      <c r="AB32" s="354"/>
      <c r="AC32" s="354"/>
      <c r="AD32" s="354"/>
      <c r="AE32" s="354"/>
      <c r="AF32" s="354"/>
      <c r="AG32" s="354"/>
      <c r="AH32" s="354"/>
      <c r="AI32" s="354"/>
    </row>
    <row r="33" spans="1:35" s="346" customFormat="1" ht="30" customHeight="1" thickTop="1" thickBot="1" x14ac:dyDescent="0.3">
      <c r="A33" s="347" t="s">
        <v>232</v>
      </c>
      <c r="B33" s="347" t="s">
        <v>233</v>
      </c>
      <c r="C33" s="348" t="s">
        <v>1482</v>
      </c>
      <c r="D33" s="348" t="s">
        <v>1470</v>
      </c>
      <c r="E33" s="349" t="s">
        <v>1471</v>
      </c>
      <c r="F33" s="349" t="s">
        <v>1472</v>
      </c>
      <c r="G33" s="350" t="s">
        <v>1473</v>
      </c>
      <c r="H33" s="350" t="s">
        <v>1474</v>
      </c>
      <c r="I33" s="351" t="s">
        <v>1475</v>
      </c>
      <c r="J33" s="351" t="s">
        <v>1476</v>
      </c>
      <c r="L33" s="391"/>
      <c r="M33" s="392"/>
      <c r="N33" s="393"/>
      <c r="O33" s="393"/>
      <c r="P33" s="393"/>
      <c r="Q33" s="393"/>
      <c r="R33" s="354"/>
      <c r="S33" s="354"/>
    </row>
    <row r="34" spans="1:35" s="346" customFormat="1" ht="15" customHeight="1" thickTop="1" x14ac:dyDescent="0.25">
      <c r="A34" s="555" t="s">
        <v>249</v>
      </c>
      <c r="B34" s="394" t="s">
        <v>248</v>
      </c>
      <c r="C34" s="395">
        <v>754</v>
      </c>
      <c r="D34" s="395">
        <v>754</v>
      </c>
      <c r="E34" s="395">
        <v>676</v>
      </c>
      <c r="F34" s="395">
        <v>676</v>
      </c>
      <c r="G34" s="395">
        <v>598</v>
      </c>
      <c r="H34" s="395">
        <v>598</v>
      </c>
      <c r="I34" s="396" t="s">
        <v>915</v>
      </c>
      <c r="J34" s="395">
        <v>312</v>
      </c>
      <c r="L34" s="391"/>
      <c r="M34" s="392"/>
      <c r="N34" s="393"/>
      <c r="O34" s="393"/>
      <c r="P34" s="393"/>
      <c r="Q34" s="393"/>
      <c r="R34" s="354"/>
      <c r="S34" s="354"/>
      <c r="U34" s="354"/>
      <c r="V34" s="354"/>
      <c r="W34" s="354"/>
      <c r="X34" s="354"/>
      <c r="Y34" s="354"/>
      <c r="Z34" s="354"/>
      <c r="AA34" s="354"/>
      <c r="AB34" s="354"/>
      <c r="AC34" s="354"/>
      <c r="AD34" s="354"/>
      <c r="AE34" s="354"/>
      <c r="AF34" s="354"/>
      <c r="AG34" s="354"/>
      <c r="AH34" s="354"/>
      <c r="AI34" s="354"/>
    </row>
    <row r="35" spans="1:35" s="346" customFormat="1" ht="15" customHeight="1" x14ac:dyDescent="0.35">
      <c r="A35" s="545"/>
      <c r="B35" s="397" t="s">
        <v>250</v>
      </c>
      <c r="C35" s="395">
        <v>379.5</v>
      </c>
      <c r="D35" s="395">
        <v>379.5</v>
      </c>
      <c r="E35" s="395">
        <v>343</v>
      </c>
      <c r="F35" s="395">
        <v>343</v>
      </c>
      <c r="G35" s="395">
        <v>296.5</v>
      </c>
      <c r="H35" s="395">
        <v>296.5</v>
      </c>
      <c r="I35" s="398" t="s">
        <v>915</v>
      </c>
      <c r="J35" s="395">
        <v>161</v>
      </c>
      <c r="L35" s="352"/>
      <c r="M35" s="353"/>
      <c r="N35" s="353"/>
      <c r="O35" s="353"/>
      <c r="P35" s="353"/>
      <c r="Q35" s="353"/>
      <c r="R35" s="354"/>
      <c r="S35" s="355"/>
      <c r="U35" s="354"/>
      <c r="V35" s="354"/>
      <c r="W35" s="354"/>
      <c r="X35" s="354"/>
      <c r="Y35" s="354"/>
      <c r="Z35" s="354"/>
      <c r="AA35" s="354"/>
      <c r="AB35" s="354"/>
      <c r="AC35" s="354"/>
      <c r="AD35" s="354"/>
      <c r="AE35" s="354"/>
      <c r="AF35" s="354"/>
      <c r="AG35" s="354"/>
      <c r="AH35" s="354"/>
      <c r="AI35" s="354"/>
    </row>
    <row r="36" spans="1:35" s="346" customFormat="1" ht="15" customHeight="1" x14ac:dyDescent="0.35">
      <c r="A36" s="545"/>
      <c r="B36" s="397" t="s">
        <v>251</v>
      </c>
      <c r="C36" s="395">
        <v>197.5</v>
      </c>
      <c r="D36" s="395">
        <v>197.5</v>
      </c>
      <c r="E36" s="395">
        <v>182</v>
      </c>
      <c r="F36" s="395">
        <v>182</v>
      </c>
      <c r="G36" s="395">
        <v>151</v>
      </c>
      <c r="H36" s="395">
        <v>151</v>
      </c>
      <c r="I36" s="398" t="s">
        <v>915</v>
      </c>
      <c r="J36" s="395">
        <v>83</v>
      </c>
      <c r="L36" s="399"/>
      <c r="M36" s="378"/>
      <c r="N36" s="378"/>
      <c r="O36" s="378"/>
      <c r="P36" s="400"/>
      <c r="Q36" s="378"/>
      <c r="R36" s="354"/>
      <c r="S36" s="354"/>
      <c r="U36" s="354"/>
      <c r="V36" s="354"/>
      <c r="W36" s="354"/>
      <c r="X36" s="354"/>
      <c r="Y36" s="354"/>
      <c r="Z36" s="354"/>
      <c r="AA36" s="354"/>
      <c r="AB36" s="354"/>
      <c r="AC36" s="354"/>
      <c r="AD36" s="354"/>
      <c r="AE36" s="354"/>
      <c r="AF36" s="354"/>
      <c r="AG36" s="354"/>
      <c r="AH36" s="354"/>
      <c r="AI36" s="354"/>
    </row>
    <row r="37" spans="1:35" s="346" customFormat="1" ht="15" customHeight="1" x14ac:dyDescent="0.35">
      <c r="A37" s="546"/>
      <c r="B37" s="397" t="s">
        <v>252</v>
      </c>
      <c r="C37" s="395">
        <v>69.5</v>
      </c>
      <c r="D37" s="395">
        <v>69.5</v>
      </c>
      <c r="E37" s="395">
        <v>62.5</v>
      </c>
      <c r="F37" s="395">
        <v>62.5</v>
      </c>
      <c r="G37" s="395">
        <v>52</v>
      </c>
      <c r="H37" s="395">
        <v>52</v>
      </c>
      <c r="I37" s="398" t="s">
        <v>915</v>
      </c>
      <c r="J37" s="395">
        <v>36.5</v>
      </c>
      <c r="L37" s="399"/>
      <c r="M37" s="378"/>
      <c r="N37" s="378"/>
      <c r="O37" s="378"/>
      <c r="P37" s="400"/>
      <c r="Q37" s="378"/>
      <c r="R37" s="354"/>
      <c r="S37" s="354"/>
      <c r="U37" s="354"/>
      <c r="V37" s="354"/>
      <c r="W37" s="354"/>
      <c r="X37" s="354"/>
      <c r="Y37" s="354"/>
      <c r="Z37" s="354"/>
      <c r="AA37" s="354"/>
      <c r="AB37" s="354"/>
      <c r="AC37" s="354"/>
      <c r="AD37" s="354"/>
      <c r="AE37" s="354"/>
      <c r="AF37" s="354"/>
      <c r="AG37" s="354"/>
      <c r="AH37" s="354"/>
      <c r="AI37" s="354"/>
    </row>
    <row r="38" spans="1:35" s="346" customFormat="1" ht="15" customHeight="1" x14ac:dyDescent="0.35">
      <c r="A38" s="544" t="s">
        <v>253</v>
      </c>
      <c r="B38" s="397" t="s">
        <v>248</v>
      </c>
      <c r="C38" s="395">
        <v>1352</v>
      </c>
      <c r="D38" s="395">
        <v>1352</v>
      </c>
      <c r="E38" s="395">
        <v>1300</v>
      </c>
      <c r="F38" s="395">
        <v>1300</v>
      </c>
      <c r="G38" s="395">
        <v>1092</v>
      </c>
      <c r="H38" s="395">
        <v>1092</v>
      </c>
      <c r="I38" s="398" t="s">
        <v>915</v>
      </c>
      <c r="J38" s="401" t="s">
        <v>245</v>
      </c>
      <c r="L38" s="399"/>
      <c r="M38" s="378"/>
      <c r="N38" s="378"/>
      <c r="O38" s="378"/>
      <c r="P38" s="400"/>
      <c r="Q38" s="378"/>
      <c r="R38" s="354"/>
      <c r="S38" s="354"/>
      <c r="U38" s="354"/>
      <c r="V38" s="354"/>
      <c r="W38" s="354"/>
      <c r="X38" s="354"/>
      <c r="Y38" s="354"/>
      <c r="Z38" s="354"/>
      <c r="AA38" s="354"/>
      <c r="AB38" s="354"/>
      <c r="AC38" s="354"/>
      <c r="AD38" s="354"/>
      <c r="AE38" s="354"/>
      <c r="AF38" s="354"/>
      <c r="AG38" s="354"/>
      <c r="AH38" s="354"/>
      <c r="AI38" s="354"/>
    </row>
    <row r="39" spans="1:35" s="346" customFormat="1" ht="15" customHeight="1" x14ac:dyDescent="0.35">
      <c r="A39" s="545"/>
      <c r="B39" s="397" t="s">
        <v>251</v>
      </c>
      <c r="C39" s="395">
        <v>364</v>
      </c>
      <c r="D39" s="395">
        <v>364</v>
      </c>
      <c r="E39" s="395">
        <v>338</v>
      </c>
      <c r="F39" s="395">
        <v>338</v>
      </c>
      <c r="G39" s="395">
        <v>301.5</v>
      </c>
      <c r="H39" s="395">
        <v>301.5</v>
      </c>
      <c r="I39" s="398" t="s">
        <v>915</v>
      </c>
      <c r="J39" s="402" t="s">
        <v>245</v>
      </c>
      <c r="L39" s="399"/>
      <c r="M39" s="378"/>
      <c r="N39" s="378"/>
      <c r="O39" s="378"/>
      <c r="P39" s="400"/>
      <c r="Q39" s="378"/>
      <c r="R39" s="354"/>
      <c r="S39" s="354"/>
      <c r="U39" s="354"/>
      <c r="V39" s="354"/>
      <c r="W39" s="354"/>
      <c r="X39" s="354"/>
      <c r="Y39" s="354"/>
      <c r="Z39" s="354"/>
      <c r="AA39" s="354"/>
      <c r="AB39" s="354"/>
      <c r="AC39" s="354"/>
      <c r="AD39" s="354"/>
      <c r="AE39" s="354"/>
      <c r="AF39" s="354"/>
      <c r="AG39" s="354"/>
      <c r="AH39" s="354"/>
      <c r="AI39" s="354"/>
    </row>
    <row r="40" spans="1:35" s="346" customFormat="1" ht="15" customHeight="1" x14ac:dyDescent="0.35">
      <c r="A40" s="546"/>
      <c r="B40" s="397" t="s">
        <v>252</v>
      </c>
      <c r="C40" s="395">
        <v>130</v>
      </c>
      <c r="D40" s="395">
        <v>130</v>
      </c>
      <c r="E40" s="395">
        <v>119.5</v>
      </c>
      <c r="F40" s="395">
        <v>119.5</v>
      </c>
      <c r="G40" s="395">
        <v>104</v>
      </c>
      <c r="H40" s="395">
        <v>104</v>
      </c>
      <c r="I40" s="398" t="s">
        <v>915</v>
      </c>
      <c r="J40" s="402" t="s">
        <v>245</v>
      </c>
      <c r="L40" s="399"/>
      <c r="M40" s="378"/>
      <c r="N40" s="378"/>
      <c r="O40" s="378"/>
      <c r="P40" s="400"/>
      <c r="Q40" s="378"/>
      <c r="R40" s="354"/>
      <c r="S40" s="354"/>
      <c r="U40" s="354"/>
      <c r="V40" s="354"/>
      <c r="W40" s="354"/>
      <c r="X40" s="354"/>
      <c r="Y40" s="354"/>
      <c r="Z40" s="354"/>
      <c r="AA40" s="354"/>
      <c r="AB40" s="354"/>
      <c r="AC40" s="354"/>
      <c r="AD40" s="354"/>
      <c r="AE40" s="354"/>
      <c r="AF40" s="354"/>
      <c r="AG40" s="354"/>
      <c r="AH40" s="354"/>
      <c r="AI40" s="354"/>
    </row>
    <row r="41" spans="1:35" s="346" customFormat="1" ht="15" customHeight="1" thickBot="1" x14ac:dyDescent="0.4">
      <c r="A41" s="403" t="s">
        <v>254</v>
      </c>
      <c r="B41" s="404" t="s">
        <v>248</v>
      </c>
      <c r="C41" s="547">
        <v>1510</v>
      </c>
      <c r="D41" s="548"/>
      <c r="E41" s="548"/>
      <c r="F41" s="548"/>
      <c r="G41" s="548"/>
      <c r="H41" s="548"/>
      <c r="I41" s="549"/>
      <c r="J41" s="405"/>
      <c r="L41" s="399"/>
      <c r="M41" s="378"/>
      <c r="N41" s="378"/>
      <c r="O41" s="378"/>
      <c r="P41" s="400"/>
      <c r="Q41" s="378"/>
      <c r="R41" s="354"/>
      <c r="S41" s="354"/>
      <c r="U41" s="354"/>
      <c r="V41" s="354"/>
      <c r="W41" s="354"/>
      <c r="X41" s="354"/>
      <c r="Y41" s="354"/>
      <c r="Z41" s="354"/>
      <c r="AA41" s="354"/>
      <c r="AB41" s="354"/>
      <c r="AC41" s="354"/>
      <c r="AD41" s="354"/>
      <c r="AE41" s="354"/>
      <c r="AF41" s="354"/>
      <c r="AG41" s="354"/>
      <c r="AH41" s="354"/>
      <c r="AI41" s="354"/>
    </row>
    <row r="42" spans="1:35" s="346" customFormat="1" ht="13" hidden="1" thickBot="1" x14ac:dyDescent="0.4">
      <c r="L42" s="399"/>
      <c r="M42" s="399"/>
      <c r="N42" s="399"/>
      <c r="O42" s="399"/>
      <c r="P42" s="406"/>
      <c r="Q42" s="399"/>
    </row>
    <row r="43" spans="1:35" s="346" customFormat="1" ht="30" customHeight="1" thickTop="1" thickBot="1" x14ac:dyDescent="0.4">
      <c r="A43" s="347" t="s">
        <v>232</v>
      </c>
      <c r="B43" s="347" t="s">
        <v>233</v>
      </c>
      <c r="C43" s="407" t="s">
        <v>255</v>
      </c>
      <c r="D43" s="407" t="s">
        <v>256</v>
      </c>
      <c r="E43" s="407" t="s">
        <v>257</v>
      </c>
      <c r="L43" s="399"/>
      <c r="M43" s="378"/>
      <c r="N43" s="378"/>
      <c r="O43" s="378"/>
      <c r="P43" s="378"/>
      <c r="Q43" s="378"/>
      <c r="R43" s="354"/>
      <c r="S43" s="354"/>
      <c r="U43" s="354"/>
      <c r="V43" s="354"/>
      <c r="W43" s="354"/>
      <c r="X43" s="354"/>
      <c r="Y43" s="354"/>
      <c r="Z43" s="354"/>
      <c r="AA43" s="354"/>
      <c r="AB43" s="354"/>
      <c r="AC43" s="354"/>
      <c r="AD43" s="354"/>
      <c r="AE43" s="354"/>
      <c r="AF43" s="354"/>
      <c r="AG43" s="354"/>
      <c r="AH43" s="354"/>
      <c r="AI43" s="354"/>
    </row>
    <row r="44" spans="1:35" s="346" customFormat="1" ht="15" customHeight="1" thickTop="1" x14ac:dyDescent="0.25">
      <c r="A44" s="408" t="s">
        <v>258</v>
      </c>
      <c r="B44" s="408" t="s">
        <v>259</v>
      </c>
      <c r="C44" s="409"/>
      <c r="D44" s="395">
        <v>170</v>
      </c>
      <c r="E44" s="395">
        <v>314.5</v>
      </c>
      <c r="M44" s="354"/>
      <c r="N44" s="393"/>
      <c r="O44" s="393"/>
      <c r="P44" s="393"/>
      <c r="Q44" s="393"/>
      <c r="R44" s="354"/>
      <c r="S44" s="354"/>
      <c r="U44" s="354"/>
      <c r="V44" s="354"/>
      <c r="W44" s="354"/>
      <c r="X44" s="354"/>
      <c r="Y44" s="354"/>
      <c r="Z44" s="354"/>
      <c r="AA44" s="354"/>
      <c r="AB44" s="354"/>
      <c r="AC44" s="354"/>
      <c r="AD44" s="354"/>
      <c r="AE44" s="354"/>
      <c r="AF44" s="354"/>
      <c r="AG44" s="354"/>
      <c r="AH44" s="354"/>
      <c r="AI44" s="354"/>
    </row>
    <row r="45" spans="1:35" s="346" customFormat="1" ht="15" customHeight="1" x14ac:dyDescent="0.25">
      <c r="A45" s="410" t="s">
        <v>260</v>
      </c>
      <c r="B45" s="410" t="s">
        <v>261</v>
      </c>
      <c r="C45" s="411"/>
      <c r="D45" s="412"/>
      <c r="E45" s="395">
        <v>82</v>
      </c>
      <c r="L45" s="413"/>
      <c r="M45" s="354"/>
      <c r="N45" s="393"/>
      <c r="O45" s="393"/>
      <c r="P45" s="393"/>
      <c r="Q45" s="393"/>
      <c r="R45" s="354"/>
      <c r="S45" s="355"/>
      <c r="U45" s="354"/>
      <c r="V45" s="354"/>
      <c r="W45" s="354"/>
      <c r="X45" s="354"/>
      <c r="Y45" s="354"/>
      <c r="Z45" s="354"/>
      <c r="AA45" s="354"/>
      <c r="AB45" s="354"/>
      <c r="AC45" s="354"/>
      <c r="AD45" s="354"/>
      <c r="AE45" s="354"/>
      <c r="AF45" s="354"/>
      <c r="AG45" s="354"/>
      <c r="AH45" s="354"/>
      <c r="AI45" s="354"/>
    </row>
    <row r="46" spans="1:35" s="346" customFormat="1" ht="15" customHeight="1" x14ac:dyDescent="0.25">
      <c r="A46" s="414" t="s">
        <v>262</v>
      </c>
      <c r="B46" s="410" t="s">
        <v>263</v>
      </c>
      <c r="C46" s="411"/>
      <c r="D46" s="412"/>
      <c r="E46" s="395">
        <v>164</v>
      </c>
      <c r="L46" s="415"/>
      <c r="M46" s="354"/>
      <c r="N46" s="393"/>
      <c r="O46" s="393"/>
      <c r="P46" s="393"/>
      <c r="Q46" s="393"/>
      <c r="R46" s="354"/>
      <c r="S46" s="354"/>
      <c r="U46" s="354"/>
      <c r="V46" s="354"/>
      <c r="W46" s="354"/>
      <c r="X46" s="354"/>
      <c r="Y46" s="354"/>
      <c r="Z46" s="354"/>
      <c r="AA46" s="354"/>
      <c r="AB46" s="354"/>
      <c r="AC46" s="354"/>
      <c r="AD46" s="354"/>
      <c r="AE46" s="354"/>
      <c r="AF46" s="354"/>
      <c r="AG46" s="354"/>
      <c r="AH46" s="354"/>
      <c r="AI46" s="354"/>
    </row>
    <row r="47" spans="1:35" s="346" customFormat="1" ht="25" x14ac:dyDescent="0.25">
      <c r="A47" s="416" t="s">
        <v>264</v>
      </c>
      <c r="B47" s="410" t="s">
        <v>261</v>
      </c>
      <c r="C47" s="411"/>
      <c r="D47" s="411"/>
      <c r="E47" s="395">
        <v>251.5</v>
      </c>
      <c r="L47" s="415"/>
      <c r="M47" s="354"/>
      <c r="N47" s="393"/>
      <c r="O47" s="393"/>
      <c r="P47" s="393"/>
      <c r="Q47" s="393"/>
      <c r="R47" s="354"/>
      <c r="S47" s="354"/>
      <c r="U47" s="354"/>
      <c r="V47" s="354"/>
      <c r="W47" s="354"/>
      <c r="X47" s="354"/>
      <c r="Y47" s="354"/>
      <c r="Z47" s="354"/>
      <c r="AA47" s="354"/>
      <c r="AB47" s="354"/>
      <c r="AC47" s="354"/>
      <c r="AD47" s="354"/>
      <c r="AE47" s="354"/>
      <c r="AF47" s="354"/>
      <c r="AG47" s="354"/>
      <c r="AH47" s="354"/>
      <c r="AI47" s="354"/>
    </row>
    <row r="48" spans="1:35" s="346" customFormat="1" ht="25" x14ac:dyDescent="0.25">
      <c r="A48" s="416" t="s">
        <v>265</v>
      </c>
      <c r="B48" s="410" t="s">
        <v>261</v>
      </c>
      <c r="C48" s="411"/>
      <c r="D48" s="411"/>
      <c r="E48" s="395">
        <v>629</v>
      </c>
      <c r="L48" s="415"/>
      <c r="M48" s="354"/>
      <c r="N48" s="393"/>
      <c r="O48" s="393"/>
      <c r="P48" s="393"/>
      <c r="Q48" s="393"/>
      <c r="R48" s="354"/>
      <c r="S48" s="354"/>
      <c r="U48" s="354"/>
      <c r="V48" s="354"/>
      <c r="W48" s="354"/>
      <c r="X48" s="354"/>
      <c r="Y48" s="354"/>
      <c r="Z48" s="354"/>
      <c r="AA48" s="354"/>
      <c r="AB48" s="354"/>
      <c r="AC48" s="354"/>
      <c r="AD48" s="354"/>
      <c r="AE48" s="354"/>
      <c r="AF48" s="354"/>
      <c r="AG48" s="354"/>
      <c r="AH48" s="354"/>
      <c r="AI48" s="354"/>
    </row>
    <row r="49" spans="1:35" s="346" customFormat="1" ht="25" x14ac:dyDescent="0.25">
      <c r="A49" s="416" t="s">
        <v>266</v>
      </c>
      <c r="B49" s="414" t="s">
        <v>267</v>
      </c>
      <c r="C49" s="411"/>
      <c r="D49" s="411"/>
      <c r="E49" s="395">
        <v>82</v>
      </c>
      <c r="L49" s="415"/>
      <c r="M49" s="354"/>
      <c r="N49" s="393"/>
      <c r="O49" s="393"/>
      <c r="P49" s="393"/>
      <c r="Q49" s="393"/>
      <c r="R49" s="354"/>
      <c r="S49" s="354"/>
      <c r="U49" s="354"/>
      <c r="V49" s="354"/>
      <c r="W49" s="354"/>
      <c r="X49" s="354"/>
      <c r="Y49" s="354"/>
      <c r="Z49" s="354"/>
      <c r="AA49" s="354"/>
      <c r="AB49" s="354"/>
      <c r="AC49" s="354"/>
      <c r="AD49" s="354"/>
      <c r="AE49" s="354"/>
      <c r="AF49" s="354"/>
      <c r="AG49" s="354"/>
      <c r="AH49" s="354"/>
      <c r="AI49" s="354"/>
    </row>
    <row r="50" spans="1:35" s="346" customFormat="1" ht="12.5" x14ac:dyDescent="0.25">
      <c r="A50" s="410" t="s">
        <v>268</v>
      </c>
      <c r="B50" s="410" t="s">
        <v>259</v>
      </c>
      <c r="C50" s="411"/>
      <c r="D50" s="412"/>
      <c r="E50" s="395">
        <v>19</v>
      </c>
      <c r="L50" s="415"/>
      <c r="M50" s="354"/>
      <c r="N50" s="393"/>
      <c r="O50" s="393"/>
      <c r="P50" s="393"/>
      <c r="Q50" s="393"/>
      <c r="R50" s="354"/>
      <c r="S50" s="354"/>
      <c r="U50" s="354"/>
      <c r="V50" s="354"/>
      <c r="W50" s="354"/>
      <c r="X50" s="354"/>
      <c r="Y50" s="354"/>
      <c r="Z50" s="354"/>
      <c r="AA50" s="354"/>
      <c r="AB50" s="354"/>
      <c r="AC50" s="354"/>
      <c r="AD50" s="354"/>
      <c r="AE50" s="354"/>
      <c r="AF50" s="354"/>
      <c r="AG50" s="354"/>
      <c r="AH50" s="354"/>
      <c r="AI50" s="354"/>
    </row>
    <row r="51" spans="1:35" s="346" customFormat="1" ht="12.5" x14ac:dyDescent="0.25">
      <c r="A51" s="410" t="s">
        <v>269</v>
      </c>
      <c r="B51" s="410"/>
      <c r="C51" s="411"/>
      <c r="D51" s="412"/>
      <c r="E51" s="395">
        <v>10.5</v>
      </c>
      <c r="L51" s="415"/>
      <c r="M51" s="354"/>
      <c r="N51" s="393"/>
      <c r="O51" s="393"/>
      <c r="P51" s="393"/>
      <c r="Q51" s="393"/>
      <c r="R51" s="354"/>
      <c r="S51" s="354"/>
      <c r="U51" s="354"/>
      <c r="V51" s="354"/>
      <c r="W51" s="354"/>
      <c r="X51" s="354"/>
      <c r="Y51" s="354"/>
      <c r="Z51" s="354"/>
      <c r="AA51" s="354"/>
      <c r="AB51" s="354"/>
      <c r="AC51" s="354"/>
      <c r="AD51" s="354"/>
      <c r="AE51" s="354"/>
      <c r="AF51" s="354"/>
      <c r="AG51" s="354"/>
      <c r="AH51" s="354"/>
      <c r="AI51" s="354"/>
    </row>
    <row r="52" spans="1:35" s="346" customFormat="1" ht="15" customHeight="1" x14ac:dyDescent="0.25">
      <c r="A52" s="410" t="s">
        <v>270</v>
      </c>
      <c r="B52" s="410" t="s">
        <v>259</v>
      </c>
      <c r="C52" s="411"/>
      <c r="D52" s="411"/>
      <c r="E52" s="395">
        <v>22</v>
      </c>
      <c r="L52" s="415"/>
      <c r="M52" s="354"/>
      <c r="N52" s="393"/>
      <c r="O52" s="393"/>
      <c r="P52" s="393"/>
      <c r="Q52" s="393"/>
      <c r="R52" s="354"/>
      <c r="S52" s="354"/>
      <c r="U52" s="354"/>
      <c r="V52" s="354"/>
      <c r="W52" s="354"/>
      <c r="X52" s="354"/>
      <c r="Y52" s="354"/>
      <c r="Z52" s="354"/>
      <c r="AA52" s="354"/>
      <c r="AB52" s="354"/>
      <c r="AC52" s="354"/>
      <c r="AD52" s="354"/>
      <c r="AE52" s="354"/>
      <c r="AF52" s="354"/>
      <c r="AG52" s="354"/>
      <c r="AH52" s="354"/>
      <c r="AI52" s="354"/>
    </row>
    <row r="53" spans="1:35" s="346" customFormat="1" ht="15" customHeight="1" x14ac:dyDescent="0.25">
      <c r="A53" s="410" t="s">
        <v>271</v>
      </c>
      <c r="B53" s="410" t="s">
        <v>259</v>
      </c>
      <c r="C53" s="411"/>
      <c r="D53" s="411"/>
      <c r="E53" s="395">
        <v>36.5</v>
      </c>
      <c r="L53" s="415"/>
      <c r="M53" s="354"/>
      <c r="N53" s="393"/>
      <c r="O53" s="393"/>
      <c r="P53" s="393"/>
      <c r="Q53" s="393"/>
      <c r="R53" s="354"/>
      <c r="S53" s="354"/>
      <c r="U53" s="354"/>
      <c r="V53" s="354"/>
      <c r="W53" s="354"/>
      <c r="X53" s="354"/>
      <c r="Y53" s="354"/>
      <c r="Z53" s="354"/>
      <c r="AA53" s="354"/>
      <c r="AB53" s="354"/>
      <c r="AC53" s="354"/>
      <c r="AD53" s="354"/>
      <c r="AE53" s="354"/>
      <c r="AF53" s="354"/>
      <c r="AG53" s="354"/>
      <c r="AH53" s="354"/>
      <c r="AI53" s="354"/>
    </row>
    <row r="54" spans="1:35" s="346" customFormat="1" ht="15" customHeight="1" x14ac:dyDescent="0.25">
      <c r="A54" s="410" t="s">
        <v>272</v>
      </c>
      <c r="B54" s="410" t="s">
        <v>259</v>
      </c>
      <c r="C54" s="411"/>
      <c r="D54" s="411"/>
      <c r="E54" s="395">
        <v>70</v>
      </c>
      <c r="L54" s="415"/>
      <c r="M54" s="354"/>
      <c r="N54" s="393"/>
      <c r="O54" s="393"/>
      <c r="P54" s="393"/>
      <c r="Q54" s="393"/>
      <c r="R54" s="354"/>
      <c r="S54" s="354"/>
      <c r="U54" s="354"/>
      <c r="V54" s="354"/>
      <c r="W54" s="354"/>
      <c r="X54" s="354"/>
      <c r="Y54" s="354"/>
      <c r="Z54" s="354"/>
      <c r="AA54" s="354"/>
      <c r="AB54" s="354"/>
      <c r="AC54" s="354"/>
      <c r="AD54" s="354"/>
      <c r="AE54" s="354"/>
      <c r="AF54" s="354"/>
      <c r="AG54" s="354"/>
      <c r="AH54" s="354"/>
      <c r="AI54" s="354"/>
    </row>
    <row r="55" spans="1:35" s="346" customFormat="1" ht="15" customHeight="1" x14ac:dyDescent="0.25">
      <c r="A55" s="410" t="s">
        <v>273</v>
      </c>
      <c r="B55" s="410" t="s">
        <v>259</v>
      </c>
      <c r="C55" s="411"/>
      <c r="D55" s="411"/>
      <c r="E55" s="395">
        <v>102</v>
      </c>
      <c r="L55" s="415"/>
      <c r="M55" s="354"/>
      <c r="N55" s="393"/>
      <c r="O55" s="393"/>
      <c r="P55" s="393"/>
      <c r="Q55" s="393"/>
      <c r="R55" s="354"/>
      <c r="S55" s="354"/>
      <c r="U55" s="354"/>
      <c r="V55" s="354"/>
      <c r="W55" s="354"/>
      <c r="X55" s="354"/>
      <c r="Y55" s="354"/>
      <c r="Z55" s="354"/>
      <c r="AA55" s="354"/>
      <c r="AB55" s="354"/>
      <c r="AC55" s="354"/>
      <c r="AD55" s="354"/>
      <c r="AE55" s="354"/>
      <c r="AF55" s="354"/>
      <c r="AG55" s="354"/>
      <c r="AH55" s="354"/>
      <c r="AI55" s="354"/>
    </row>
    <row r="56" spans="1:35" s="346" customFormat="1" ht="15" customHeight="1" x14ac:dyDescent="0.25">
      <c r="A56" s="410" t="s">
        <v>1483</v>
      </c>
      <c r="B56" s="410" t="s">
        <v>259</v>
      </c>
      <c r="C56" s="417"/>
      <c r="D56" s="417"/>
      <c r="E56" s="395">
        <v>135</v>
      </c>
      <c r="L56" s="415"/>
      <c r="M56" s="354"/>
      <c r="N56" s="393"/>
      <c r="O56" s="393"/>
      <c r="P56" s="393"/>
      <c r="Q56" s="393"/>
      <c r="R56" s="354"/>
      <c r="S56" s="354"/>
    </row>
    <row r="57" spans="1:35" s="346" customFormat="1" ht="15" customHeight="1" x14ac:dyDescent="0.25">
      <c r="A57" s="410" t="s">
        <v>1484</v>
      </c>
      <c r="B57" s="410" t="s">
        <v>259</v>
      </c>
      <c r="C57" s="411"/>
      <c r="D57" s="411"/>
      <c r="E57" s="395">
        <v>63</v>
      </c>
      <c r="L57" s="415"/>
      <c r="M57" s="354"/>
      <c r="N57" s="393"/>
      <c r="O57" s="393"/>
      <c r="P57" s="393"/>
      <c r="Q57" s="393"/>
      <c r="R57" s="354"/>
      <c r="S57" s="354"/>
    </row>
    <row r="58" spans="1:35" s="346" customFormat="1" ht="15" customHeight="1" x14ac:dyDescent="0.25">
      <c r="A58" s="410" t="s">
        <v>274</v>
      </c>
      <c r="B58" s="410" t="s">
        <v>259</v>
      </c>
      <c r="C58" s="411"/>
      <c r="D58" s="411"/>
      <c r="E58" s="395">
        <v>165</v>
      </c>
      <c r="L58" s="418"/>
      <c r="M58" s="354"/>
      <c r="N58" s="393"/>
      <c r="O58" s="393"/>
      <c r="P58" s="393"/>
      <c r="Q58" s="393"/>
      <c r="R58" s="354"/>
      <c r="S58" s="354"/>
    </row>
    <row r="59" spans="1:35" s="346" customFormat="1" ht="15" customHeight="1" x14ac:dyDescent="0.25">
      <c r="A59" s="419" t="s">
        <v>275</v>
      </c>
      <c r="B59" s="410" t="s">
        <v>261</v>
      </c>
      <c r="C59" s="395">
        <v>62.5</v>
      </c>
      <c r="D59" s="420"/>
      <c r="E59" s="395">
        <v>624</v>
      </c>
      <c r="L59" s="415"/>
      <c r="M59" s="354"/>
      <c r="N59" s="393"/>
      <c r="O59" s="393"/>
      <c r="P59" s="393"/>
      <c r="Q59" s="393"/>
      <c r="R59" s="354"/>
      <c r="S59" s="354"/>
      <c r="U59" s="354"/>
      <c r="V59" s="354"/>
      <c r="W59" s="354"/>
      <c r="X59" s="354"/>
      <c r="Y59" s="354"/>
      <c r="Z59" s="354"/>
      <c r="AA59" s="354"/>
      <c r="AB59" s="354"/>
      <c r="AC59" s="354"/>
      <c r="AD59" s="354"/>
      <c r="AE59" s="354"/>
      <c r="AF59" s="354"/>
      <c r="AG59" s="354"/>
      <c r="AH59" s="354"/>
      <c r="AI59" s="354"/>
    </row>
    <row r="60" spans="1:35" s="346" customFormat="1" ht="15" customHeight="1" thickBot="1" x14ac:dyDescent="0.3">
      <c r="A60" s="354"/>
      <c r="B60" s="345"/>
      <c r="C60" s="354"/>
      <c r="D60" s="354"/>
      <c r="E60" s="354"/>
      <c r="L60" s="415"/>
      <c r="M60" s="354"/>
      <c r="N60" s="393"/>
      <c r="O60" s="393"/>
      <c r="P60" s="393"/>
      <c r="Q60" s="393"/>
      <c r="R60" s="354"/>
      <c r="S60" s="354"/>
      <c r="U60" s="354"/>
      <c r="V60" s="354"/>
      <c r="W60" s="354"/>
      <c r="X60" s="354"/>
      <c r="Y60" s="354"/>
      <c r="Z60" s="354"/>
      <c r="AA60" s="354"/>
      <c r="AB60" s="354"/>
      <c r="AC60" s="354"/>
      <c r="AD60" s="354"/>
      <c r="AE60" s="354"/>
      <c r="AF60" s="354"/>
      <c r="AG60" s="354"/>
      <c r="AH60" s="354"/>
      <c r="AI60" s="354"/>
    </row>
    <row r="61" spans="1:35" s="346" customFormat="1" hidden="1" thickTop="1" thickBot="1" x14ac:dyDescent="0.3">
      <c r="A61" s="347" t="s">
        <v>232</v>
      </c>
      <c r="B61" s="550" t="s">
        <v>233</v>
      </c>
      <c r="C61" s="551"/>
      <c r="D61" s="550" t="s">
        <v>278</v>
      </c>
      <c r="E61" s="551"/>
      <c r="L61" s="415"/>
      <c r="M61" s="354"/>
      <c r="N61" s="393"/>
      <c r="O61" s="393"/>
      <c r="P61" s="393"/>
      <c r="Q61" s="393"/>
      <c r="R61" s="354"/>
      <c r="S61" s="354"/>
      <c r="U61" s="354"/>
      <c r="V61" s="354"/>
      <c r="W61" s="354"/>
      <c r="X61" s="354"/>
      <c r="Y61" s="354"/>
      <c r="Z61" s="354"/>
      <c r="AA61" s="354"/>
      <c r="AB61" s="354"/>
      <c r="AC61" s="354"/>
      <c r="AD61" s="354"/>
      <c r="AE61" s="354"/>
      <c r="AF61" s="354"/>
      <c r="AG61" s="354"/>
      <c r="AH61" s="354"/>
      <c r="AI61" s="354"/>
    </row>
    <row r="62" spans="1:35" s="346" customFormat="1" ht="15" customHeight="1" thickTop="1" x14ac:dyDescent="0.25">
      <c r="A62" s="408" t="s">
        <v>1485</v>
      </c>
      <c r="B62" s="564" t="s">
        <v>279</v>
      </c>
      <c r="C62" s="565"/>
      <c r="D62" s="566">
        <v>6</v>
      </c>
      <c r="E62" s="567"/>
      <c r="M62" s="354"/>
      <c r="N62" s="393"/>
      <c r="O62" s="393"/>
      <c r="P62" s="393"/>
      <c r="Q62" s="393"/>
      <c r="R62" s="354"/>
      <c r="S62" s="354"/>
      <c r="U62" s="354"/>
      <c r="V62" s="354"/>
      <c r="W62" s="354"/>
      <c r="X62" s="354"/>
      <c r="Y62" s="354"/>
      <c r="Z62" s="354"/>
      <c r="AA62" s="354"/>
      <c r="AB62" s="354"/>
      <c r="AC62" s="354"/>
      <c r="AD62" s="354"/>
      <c r="AE62" s="354"/>
      <c r="AF62" s="354"/>
      <c r="AG62" s="354"/>
      <c r="AH62" s="354"/>
      <c r="AI62" s="354"/>
    </row>
    <row r="63" spans="1:35" s="346" customFormat="1" ht="15" customHeight="1" thickBot="1" x14ac:dyDescent="0.3">
      <c r="B63" s="341"/>
      <c r="L63" s="421"/>
      <c r="M63" s="354"/>
      <c r="N63" s="393"/>
      <c r="O63" s="393"/>
      <c r="P63" s="393"/>
      <c r="Q63" s="393"/>
      <c r="R63" s="354"/>
      <c r="S63" s="354"/>
      <c r="U63" s="354"/>
      <c r="V63" s="354"/>
      <c r="W63" s="354"/>
      <c r="X63" s="354"/>
      <c r="Y63" s="354"/>
      <c r="Z63" s="354"/>
      <c r="AA63" s="354"/>
      <c r="AB63" s="354"/>
      <c r="AC63" s="354"/>
      <c r="AD63" s="354"/>
      <c r="AE63" s="354"/>
      <c r="AF63" s="354"/>
      <c r="AG63" s="354"/>
      <c r="AH63" s="354"/>
      <c r="AI63" s="354"/>
    </row>
    <row r="64" spans="1:35" s="346" customFormat="1" ht="30" customHeight="1" thickTop="1" thickBot="1" x14ac:dyDescent="0.3">
      <c r="A64" s="347" t="s">
        <v>232</v>
      </c>
      <c r="B64" s="347" t="s">
        <v>233</v>
      </c>
      <c r="C64" s="407" t="s">
        <v>255</v>
      </c>
      <c r="D64" s="407" t="s">
        <v>257</v>
      </c>
      <c r="K64" s="392"/>
      <c r="M64" s="393"/>
      <c r="N64" s="393"/>
      <c r="O64" s="393"/>
      <c r="P64" s="393"/>
      <c r="Q64" s="354"/>
      <c r="R64" s="354"/>
      <c r="T64" s="354"/>
      <c r="U64" s="354"/>
      <c r="V64" s="354"/>
      <c r="W64" s="354"/>
      <c r="X64" s="354"/>
      <c r="Y64" s="354"/>
      <c r="Z64" s="354"/>
      <c r="AA64" s="354"/>
      <c r="AB64" s="354"/>
      <c r="AC64" s="354"/>
      <c r="AD64" s="354"/>
      <c r="AE64" s="354"/>
      <c r="AF64" s="354"/>
      <c r="AG64" s="354"/>
      <c r="AH64" s="354"/>
    </row>
    <row r="65" spans="1:35" s="346" customFormat="1" ht="15" customHeight="1" thickTop="1" x14ac:dyDescent="0.25">
      <c r="A65" s="408" t="s">
        <v>276</v>
      </c>
      <c r="B65" s="422"/>
      <c r="C65" s="423">
        <v>12.5</v>
      </c>
      <c r="D65" s="423">
        <v>125</v>
      </c>
      <c r="K65" s="354"/>
      <c r="M65" s="393"/>
      <c r="N65" s="393"/>
      <c r="O65" s="393"/>
      <c r="P65" s="393"/>
      <c r="Q65" s="354"/>
      <c r="R65" s="354"/>
    </row>
    <row r="66" spans="1:35" s="346" customFormat="1" ht="15" customHeight="1" x14ac:dyDescent="0.25">
      <c r="A66" s="346" t="s">
        <v>277</v>
      </c>
      <c r="B66" s="341"/>
      <c r="L66" s="413"/>
      <c r="M66" s="354"/>
      <c r="N66" s="393"/>
      <c r="O66" s="393"/>
      <c r="P66" s="393"/>
      <c r="Q66" s="393"/>
      <c r="R66" s="354"/>
      <c r="S66" s="355"/>
      <c r="U66" s="354"/>
      <c r="V66" s="354"/>
      <c r="W66" s="354"/>
      <c r="X66" s="354"/>
      <c r="Y66" s="354"/>
      <c r="Z66" s="354"/>
      <c r="AA66" s="354"/>
      <c r="AB66" s="354"/>
      <c r="AC66" s="354"/>
      <c r="AD66" s="354"/>
      <c r="AE66" s="354"/>
      <c r="AF66" s="354"/>
      <c r="AG66" s="354"/>
      <c r="AH66" s="354"/>
      <c r="AI66" s="354"/>
    </row>
    <row r="67" spans="1:35" s="346" customFormat="1" ht="15" customHeight="1" thickBot="1" x14ac:dyDescent="0.3">
      <c r="B67" s="341"/>
      <c r="L67" s="415"/>
      <c r="M67" s="354"/>
      <c r="N67" s="393"/>
      <c r="O67" s="393"/>
      <c r="P67" s="393"/>
      <c r="Q67" s="393"/>
      <c r="R67" s="354"/>
      <c r="S67" s="354"/>
      <c r="U67" s="354"/>
      <c r="V67" s="354"/>
      <c r="W67" s="354"/>
      <c r="X67" s="354"/>
      <c r="Y67" s="354"/>
      <c r="Z67" s="354"/>
      <c r="AA67" s="354"/>
      <c r="AB67" s="354"/>
      <c r="AC67" s="354"/>
      <c r="AD67" s="354"/>
      <c r="AE67" s="354"/>
      <c r="AF67" s="354"/>
      <c r="AG67" s="354"/>
      <c r="AH67" s="354"/>
      <c r="AI67" s="354"/>
    </row>
    <row r="68" spans="1:35" s="346" customFormat="1" ht="30" customHeight="1" thickTop="1" thickBot="1" x14ac:dyDescent="0.4">
      <c r="A68" s="347" t="s">
        <v>232</v>
      </c>
      <c r="B68" s="550" t="s">
        <v>233</v>
      </c>
      <c r="C68" s="551"/>
      <c r="D68" s="550" t="s">
        <v>278</v>
      </c>
      <c r="E68" s="551"/>
      <c r="M68" s="354"/>
      <c r="N68" s="354"/>
      <c r="O68" s="354"/>
      <c r="P68" s="354"/>
      <c r="Q68" s="354"/>
      <c r="R68" s="354"/>
      <c r="S68" s="354"/>
      <c r="U68" s="354"/>
      <c r="V68" s="354"/>
      <c r="W68" s="354"/>
      <c r="X68" s="354"/>
      <c r="Y68" s="354"/>
      <c r="Z68" s="354"/>
      <c r="AA68" s="354"/>
      <c r="AB68" s="354"/>
      <c r="AC68" s="354"/>
      <c r="AD68" s="354"/>
      <c r="AE68" s="354"/>
      <c r="AF68" s="354"/>
      <c r="AG68" s="354"/>
      <c r="AH68" s="354"/>
      <c r="AI68" s="354"/>
    </row>
    <row r="69" spans="1:35" s="346" customFormat="1" ht="15" customHeight="1" thickTop="1" x14ac:dyDescent="0.35">
      <c r="A69" s="408" t="s">
        <v>1486</v>
      </c>
      <c r="B69" s="556" t="s">
        <v>279</v>
      </c>
      <c r="C69" s="557"/>
      <c r="D69" s="558">
        <v>20</v>
      </c>
      <c r="E69" s="559"/>
      <c r="M69" s="354"/>
      <c r="N69" s="354"/>
      <c r="O69" s="354"/>
      <c r="P69" s="354"/>
      <c r="Q69" s="354"/>
      <c r="R69" s="354"/>
      <c r="S69" s="354"/>
      <c r="U69" s="354"/>
      <c r="V69" s="354"/>
      <c r="W69" s="354"/>
      <c r="X69" s="354"/>
      <c r="Y69" s="354"/>
      <c r="Z69" s="354"/>
      <c r="AA69" s="354"/>
      <c r="AB69" s="354"/>
      <c r="AC69" s="354"/>
      <c r="AD69" s="354"/>
      <c r="AE69" s="354"/>
      <c r="AF69" s="354"/>
      <c r="AG69" s="354"/>
      <c r="AH69" s="354"/>
      <c r="AI69" s="354"/>
    </row>
    <row r="70" spans="1:35" s="346" customFormat="1" ht="15" customHeight="1" x14ac:dyDescent="0.35">
      <c r="A70" s="408" t="s">
        <v>1487</v>
      </c>
      <c r="B70" s="560" t="s">
        <v>279</v>
      </c>
      <c r="C70" s="561"/>
      <c r="D70" s="562">
        <v>12.5</v>
      </c>
      <c r="E70" s="563"/>
      <c r="M70" s="354"/>
      <c r="N70" s="354"/>
      <c r="O70" s="354"/>
      <c r="P70" s="354"/>
      <c r="Q70" s="354"/>
      <c r="R70" s="354"/>
      <c r="S70" s="354"/>
      <c r="U70" s="354"/>
      <c r="V70" s="354"/>
      <c r="W70" s="354"/>
      <c r="X70" s="354"/>
      <c r="Y70" s="354"/>
      <c r="Z70" s="354"/>
      <c r="AA70" s="354"/>
      <c r="AB70" s="354"/>
      <c r="AC70" s="354"/>
      <c r="AD70" s="354"/>
      <c r="AE70" s="354"/>
      <c r="AF70" s="354"/>
      <c r="AG70" s="354"/>
      <c r="AH70" s="354"/>
      <c r="AI70" s="354"/>
    </row>
    <row r="71" spans="1:35" s="346" customFormat="1" ht="15" customHeight="1" x14ac:dyDescent="0.25">
      <c r="A71" s="410" t="s">
        <v>280</v>
      </c>
      <c r="B71" s="560" t="s">
        <v>279</v>
      </c>
      <c r="C71" s="561"/>
      <c r="D71" s="562">
        <v>15.5</v>
      </c>
      <c r="E71" s="563"/>
      <c r="L71" s="424"/>
      <c r="M71" s="425"/>
      <c r="N71" s="393"/>
      <c r="O71" s="393"/>
      <c r="P71" s="393"/>
      <c r="Q71" s="393"/>
      <c r="R71" s="354"/>
      <c r="S71" s="355"/>
      <c r="U71" s="354"/>
      <c r="V71" s="354"/>
      <c r="W71" s="354"/>
      <c r="X71" s="354"/>
      <c r="Y71" s="354"/>
      <c r="Z71" s="354"/>
      <c r="AA71" s="354"/>
      <c r="AB71" s="354"/>
      <c r="AC71" s="354"/>
      <c r="AD71" s="354"/>
      <c r="AE71" s="354"/>
      <c r="AF71" s="354"/>
      <c r="AG71" s="354"/>
      <c r="AH71" s="354"/>
      <c r="AI71" s="354"/>
    </row>
    <row r="72" spans="1:35" s="346" customFormat="1" ht="15" customHeight="1" x14ac:dyDescent="0.25">
      <c r="A72" s="410" t="s">
        <v>280</v>
      </c>
      <c r="B72" s="560" t="s">
        <v>281</v>
      </c>
      <c r="C72" s="561"/>
      <c r="D72" s="562">
        <v>63</v>
      </c>
      <c r="E72" s="563"/>
      <c r="L72" s="424"/>
      <c r="M72" s="425"/>
      <c r="N72" s="393"/>
      <c r="O72" s="393"/>
      <c r="P72" s="393"/>
      <c r="Q72" s="393"/>
      <c r="R72" s="354"/>
      <c r="S72" s="354"/>
      <c r="U72" s="354"/>
      <c r="V72" s="354"/>
      <c r="W72" s="354"/>
      <c r="X72" s="354"/>
      <c r="Y72" s="354"/>
      <c r="Z72" s="354"/>
      <c r="AA72" s="354"/>
      <c r="AB72" s="354"/>
      <c r="AC72" s="354"/>
      <c r="AD72" s="354"/>
      <c r="AE72" s="354"/>
      <c r="AF72" s="354"/>
      <c r="AG72" s="354"/>
      <c r="AH72" s="354"/>
      <c r="AI72" s="354"/>
    </row>
    <row r="73" spans="1:35" s="346" customFormat="1" ht="15" customHeight="1" x14ac:dyDescent="0.25">
      <c r="A73" s="410" t="s">
        <v>282</v>
      </c>
      <c r="B73" s="560" t="s">
        <v>283</v>
      </c>
      <c r="C73" s="561"/>
      <c r="D73" s="562">
        <v>94.5</v>
      </c>
      <c r="E73" s="563"/>
      <c r="L73" s="424"/>
      <c r="M73" s="425"/>
      <c r="N73" s="393"/>
      <c r="O73" s="393"/>
      <c r="P73" s="393"/>
      <c r="Q73" s="393"/>
      <c r="R73" s="354"/>
      <c r="S73" s="354"/>
      <c r="U73" s="354"/>
      <c r="V73" s="354"/>
      <c r="W73" s="354"/>
      <c r="X73" s="354"/>
      <c r="Y73" s="354"/>
      <c r="Z73" s="354"/>
      <c r="AA73" s="354"/>
      <c r="AB73" s="354"/>
      <c r="AC73" s="354"/>
      <c r="AD73" s="354"/>
      <c r="AE73" s="354"/>
      <c r="AF73" s="354"/>
      <c r="AG73" s="354"/>
      <c r="AH73" s="354"/>
      <c r="AI73" s="354"/>
    </row>
    <row r="74" spans="1:35" s="346" customFormat="1" ht="15" customHeight="1" x14ac:dyDescent="0.25">
      <c r="A74" s="410" t="s">
        <v>284</v>
      </c>
      <c r="B74" s="560"/>
      <c r="C74" s="561"/>
      <c r="D74" s="562">
        <v>38</v>
      </c>
      <c r="E74" s="563"/>
      <c r="L74" s="424"/>
      <c r="M74" s="425"/>
      <c r="N74" s="393"/>
      <c r="O74" s="393"/>
      <c r="P74" s="393"/>
      <c r="Q74" s="393"/>
      <c r="R74" s="354"/>
      <c r="S74" s="354"/>
      <c r="U74" s="354"/>
      <c r="V74" s="354"/>
      <c r="W74" s="354"/>
      <c r="X74" s="354"/>
      <c r="Y74" s="354"/>
      <c r="Z74" s="354"/>
      <c r="AA74" s="354"/>
      <c r="AB74" s="354"/>
      <c r="AC74" s="354"/>
      <c r="AD74" s="354"/>
      <c r="AE74" s="354"/>
      <c r="AF74" s="354"/>
      <c r="AG74" s="354"/>
      <c r="AH74" s="354"/>
      <c r="AI74" s="354"/>
    </row>
    <row r="75" spans="1:35" s="346" customFormat="1" ht="15" customHeight="1" x14ac:dyDescent="0.25">
      <c r="A75" s="568" t="s">
        <v>285</v>
      </c>
      <c r="B75" s="560" t="s">
        <v>286</v>
      </c>
      <c r="C75" s="561"/>
      <c r="D75" s="562">
        <v>38</v>
      </c>
      <c r="E75" s="563"/>
      <c r="L75" s="424"/>
      <c r="M75" s="425"/>
      <c r="N75" s="393"/>
      <c r="O75" s="393"/>
      <c r="P75" s="393"/>
      <c r="Q75" s="393"/>
      <c r="R75" s="354"/>
      <c r="S75" s="354"/>
      <c r="U75" s="354"/>
      <c r="V75" s="354"/>
      <c r="W75" s="354"/>
      <c r="X75" s="354"/>
      <c r="Y75" s="354"/>
      <c r="Z75" s="354"/>
      <c r="AA75" s="354"/>
      <c r="AB75" s="354"/>
      <c r="AC75" s="354"/>
      <c r="AD75" s="354"/>
      <c r="AE75" s="354"/>
      <c r="AF75" s="354"/>
      <c r="AG75" s="354"/>
      <c r="AH75" s="354"/>
      <c r="AI75" s="354"/>
    </row>
    <row r="76" spans="1:35" s="346" customFormat="1" ht="12.5" hidden="1" x14ac:dyDescent="0.25">
      <c r="A76" s="569"/>
      <c r="B76" s="560" t="s">
        <v>287</v>
      </c>
      <c r="C76" s="561"/>
      <c r="D76" s="562">
        <v>251.5</v>
      </c>
      <c r="E76" s="563"/>
      <c r="L76" s="424"/>
      <c r="M76" s="425"/>
      <c r="N76" s="393"/>
      <c r="O76" s="393"/>
      <c r="P76" s="393"/>
      <c r="Q76" s="393"/>
      <c r="R76" s="354"/>
      <c r="S76" s="354"/>
      <c r="U76" s="354"/>
      <c r="V76" s="354"/>
      <c r="W76" s="354"/>
      <c r="X76" s="354"/>
      <c r="Y76" s="354"/>
      <c r="Z76" s="354"/>
      <c r="AA76" s="354"/>
      <c r="AB76" s="354"/>
      <c r="AC76" s="354"/>
      <c r="AD76" s="354"/>
      <c r="AE76" s="354"/>
      <c r="AF76" s="354"/>
      <c r="AG76" s="354"/>
      <c r="AH76" s="354"/>
      <c r="AI76" s="354"/>
    </row>
    <row r="77" spans="1:35" s="346" customFormat="1" ht="15" customHeight="1" x14ac:dyDescent="0.3">
      <c r="A77" s="568" t="s">
        <v>288</v>
      </c>
      <c r="B77" s="560" t="s">
        <v>286</v>
      </c>
      <c r="C77" s="561"/>
      <c r="D77" s="562">
        <v>25.5</v>
      </c>
      <c r="E77" s="563"/>
      <c r="L77" s="424"/>
      <c r="M77" s="426"/>
      <c r="N77" s="393"/>
      <c r="O77" s="393"/>
      <c r="P77" s="393"/>
      <c r="Q77" s="393"/>
      <c r="R77" s="354"/>
      <c r="S77" s="354"/>
      <c r="U77" s="354"/>
      <c r="V77" s="354"/>
      <c r="W77" s="354"/>
      <c r="X77" s="354"/>
      <c r="Y77" s="354"/>
      <c r="Z77" s="354"/>
      <c r="AA77" s="354"/>
      <c r="AB77" s="354"/>
      <c r="AC77" s="354"/>
      <c r="AD77" s="354"/>
      <c r="AE77" s="354"/>
      <c r="AF77" s="354"/>
      <c r="AG77" s="354"/>
      <c r="AH77" s="354"/>
      <c r="AI77" s="354"/>
    </row>
    <row r="78" spans="1:35" s="346" customFormat="1" ht="15" customHeight="1" x14ac:dyDescent="0.25">
      <c r="A78" s="569"/>
      <c r="B78" s="560" t="s">
        <v>287</v>
      </c>
      <c r="C78" s="561"/>
      <c r="D78" s="562">
        <v>151.5</v>
      </c>
      <c r="E78" s="563"/>
      <c r="F78" s="427"/>
      <c r="G78" s="427"/>
      <c r="H78" s="427"/>
      <c r="I78" s="427"/>
      <c r="J78" s="427"/>
      <c r="L78" s="424"/>
      <c r="M78" s="425"/>
      <c r="N78" s="393"/>
      <c r="O78" s="393"/>
      <c r="P78" s="393"/>
      <c r="Q78" s="393"/>
      <c r="R78" s="354"/>
      <c r="S78" s="354"/>
      <c r="U78" s="354"/>
      <c r="V78" s="354"/>
      <c r="W78" s="354"/>
      <c r="X78" s="354"/>
      <c r="Y78" s="354"/>
      <c r="Z78" s="354"/>
      <c r="AA78" s="354"/>
      <c r="AB78" s="354"/>
      <c r="AC78" s="354"/>
      <c r="AD78" s="354"/>
      <c r="AE78" s="354"/>
      <c r="AF78" s="354"/>
      <c r="AG78" s="354"/>
      <c r="AH78" s="354"/>
      <c r="AI78" s="354"/>
    </row>
    <row r="79" spans="1:35" s="346" customFormat="1" ht="15" customHeight="1" x14ac:dyDescent="0.35">
      <c r="A79" s="410" t="s">
        <v>289</v>
      </c>
      <c r="B79" s="560" t="s">
        <v>290</v>
      </c>
      <c r="C79" s="561"/>
      <c r="D79" s="562">
        <v>10</v>
      </c>
      <c r="E79" s="563"/>
      <c r="L79" s="424"/>
      <c r="M79" s="389"/>
      <c r="N79" s="354"/>
      <c r="O79" s="354"/>
      <c r="P79" s="354"/>
      <c r="Q79" s="354"/>
      <c r="R79" s="354"/>
      <c r="S79" s="354"/>
      <c r="U79" s="354"/>
      <c r="V79" s="354"/>
      <c r="W79" s="354"/>
      <c r="X79" s="354"/>
      <c r="Y79" s="354"/>
      <c r="Z79" s="354"/>
      <c r="AA79" s="354"/>
      <c r="AB79" s="354"/>
      <c r="AC79" s="354"/>
      <c r="AD79" s="354"/>
      <c r="AE79" s="354"/>
      <c r="AF79" s="354"/>
      <c r="AG79" s="354"/>
      <c r="AH79" s="354"/>
      <c r="AI79" s="354"/>
    </row>
    <row r="80" spans="1:35" s="427" customFormat="1" ht="15" customHeight="1" x14ac:dyDescent="0.35">
      <c r="A80" s="410" t="s">
        <v>291</v>
      </c>
      <c r="B80" s="560" t="s">
        <v>290</v>
      </c>
      <c r="C80" s="561"/>
      <c r="D80" s="562">
        <v>10</v>
      </c>
      <c r="E80" s="563"/>
      <c r="F80" s="346"/>
      <c r="G80" s="346"/>
      <c r="H80" s="346"/>
      <c r="I80" s="346"/>
      <c r="J80" s="346"/>
      <c r="L80" s="428"/>
      <c r="M80" s="429"/>
      <c r="N80" s="430"/>
      <c r="O80" s="430"/>
      <c r="P80" s="430"/>
      <c r="Q80" s="430"/>
      <c r="R80" s="430"/>
      <c r="S80" s="430"/>
      <c r="U80" s="430"/>
      <c r="V80" s="430"/>
      <c r="W80" s="430"/>
      <c r="X80" s="430"/>
      <c r="Y80" s="430"/>
      <c r="Z80" s="430"/>
      <c r="AA80" s="430"/>
      <c r="AB80" s="430"/>
      <c r="AC80" s="430"/>
      <c r="AD80" s="430"/>
      <c r="AE80" s="430"/>
      <c r="AF80" s="430"/>
      <c r="AG80" s="430"/>
      <c r="AH80" s="430"/>
      <c r="AI80" s="430"/>
    </row>
    <row r="81" spans="1:35" s="346" customFormat="1" ht="15" customHeight="1" x14ac:dyDescent="0.25">
      <c r="A81" s="419" t="s">
        <v>292</v>
      </c>
      <c r="B81" s="560" t="s">
        <v>293</v>
      </c>
      <c r="C81" s="561"/>
      <c r="D81" s="562">
        <v>31.5</v>
      </c>
      <c r="E81" s="563"/>
      <c r="L81" s="424"/>
      <c r="M81" s="425"/>
      <c r="N81" s="393"/>
      <c r="O81" s="393"/>
      <c r="P81" s="393"/>
      <c r="Q81" s="393"/>
      <c r="R81" s="354"/>
      <c r="S81" s="354"/>
      <c r="U81" s="354"/>
      <c r="V81" s="354"/>
      <c r="W81" s="354"/>
      <c r="X81" s="354"/>
      <c r="Y81" s="354"/>
      <c r="Z81" s="354"/>
      <c r="AA81" s="354"/>
      <c r="AB81" s="354"/>
      <c r="AC81" s="354"/>
      <c r="AD81" s="354"/>
      <c r="AE81" s="354"/>
      <c r="AF81" s="354"/>
      <c r="AG81" s="354"/>
      <c r="AH81" s="354"/>
      <c r="AI81" s="354"/>
    </row>
    <row r="82" spans="1:35" s="346" customFormat="1" ht="30" customHeight="1" x14ac:dyDescent="0.25">
      <c r="A82" s="410" t="s">
        <v>294</v>
      </c>
      <c r="B82" s="560" t="s">
        <v>295</v>
      </c>
      <c r="C82" s="561"/>
      <c r="D82" s="562">
        <v>17</v>
      </c>
      <c r="E82" s="563"/>
      <c r="L82" s="424"/>
      <c r="M82" s="425"/>
      <c r="N82" s="393"/>
      <c r="O82" s="393"/>
      <c r="P82" s="393"/>
      <c r="Q82" s="393"/>
      <c r="R82" s="354"/>
      <c r="S82" s="354"/>
      <c r="U82" s="354"/>
      <c r="V82" s="354"/>
      <c r="W82" s="354"/>
      <c r="X82" s="354"/>
      <c r="Y82" s="354"/>
      <c r="Z82" s="354"/>
      <c r="AA82" s="354"/>
      <c r="AB82" s="354"/>
      <c r="AC82" s="354"/>
      <c r="AD82" s="354"/>
      <c r="AE82" s="354"/>
      <c r="AF82" s="354"/>
      <c r="AG82" s="354"/>
      <c r="AH82" s="354"/>
      <c r="AI82" s="354"/>
    </row>
    <row r="83" spans="1:35" s="346" customFormat="1" ht="12.5" x14ac:dyDescent="0.25">
      <c r="A83" s="410" t="s">
        <v>296</v>
      </c>
      <c r="B83" s="570" t="s">
        <v>297</v>
      </c>
      <c r="C83" s="571"/>
      <c r="D83" s="575" t="s">
        <v>298</v>
      </c>
      <c r="E83" s="576"/>
      <c r="L83" s="424"/>
      <c r="M83" s="425"/>
      <c r="N83" s="393"/>
      <c r="O83" s="393"/>
      <c r="P83" s="393"/>
      <c r="Q83" s="393"/>
      <c r="R83" s="354"/>
      <c r="S83" s="354"/>
      <c r="U83" s="354"/>
      <c r="V83" s="354"/>
      <c r="W83" s="354"/>
      <c r="X83" s="354"/>
      <c r="Y83" s="354"/>
      <c r="Z83" s="354"/>
      <c r="AA83" s="354"/>
      <c r="AB83" s="354"/>
      <c r="AC83" s="354"/>
      <c r="AD83" s="354"/>
      <c r="AE83" s="354"/>
      <c r="AF83" s="354"/>
      <c r="AG83" s="354"/>
      <c r="AH83" s="354"/>
      <c r="AI83" s="354"/>
    </row>
    <row r="84" spans="1:35" s="346" customFormat="1" ht="12.5" x14ac:dyDescent="0.35">
      <c r="A84" s="518" t="s">
        <v>299</v>
      </c>
      <c r="B84" s="570" t="s">
        <v>300</v>
      </c>
      <c r="C84" s="571"/>
      <c r="D84" s="562">
        <v>63</v>
      </c>
      <c r="E84" s="563"/>
      <c r="L84" s="424"/>
      <c r="M84" s="389"/>
      <c r="N84" s="354"/>
      <c r="O84" s="354"/>
      <c r="P84" s="354"/>
      <c r="Q84" s="354"/>
      <c r="R84" s="354"/>
      <c r="S84" s="354"/>
      <c r="U84" s="354"/>
      <c r="V84" s="354"/>
      <c r="W84" s="354"/>
      <c r="X84" s="354"/>
      <c r="Y84" s="354"/>
      <c r="Z84" s="354"/>
      <c r="AA84" s="354"/>
      <c r="AB84" s="354"/>
      <c r="AC84" s="354"/>
      <c r="AD84" s="354"/>
      <c r="AE84" s="354"/>
      <c r="AF84" s="354"/>
      <c r="AG84" s="354"/>
      <c r="AH84" s="354"/>
      <c r="AI84" s="354"/>
    </row>
    <row r="85" spans="1:35" s="346" customFormat="1" ht="12.5" x14ac:dyDescent="0.25">
      <c r="A85" s="519"/>
      <c r="B85" s="570" t="s">
        <v>301</v>
      </c>
      <c r="C85" s="571"/>
      <c r="D85" s="562">
        <v>251.5</v>
      </c>
      <c r="E85" s="563"/>
      <c r="L85" s="424"/>
      <c r="M85" s="425"/>
      <c r="N85" s="393"/>
      <c r="O85" s="393"/>
      <c r="P85" s="393"/>
      <c r="Q85" s="393"/>
      <c r="R85" s="354"/>
      <c r="S85" s="354"/>
      <c r="U85" s="354"/>
      <c r="V85" s="354"/>
      <c r="W85" s="354"/>
      <c r="X85" s="354"/>
      <c r="Y85" s="354"/>
      <c r="Z85" s="354"/>
      <c r="AA85" s="354"/>
      <c r="AB85" s="354"/>
      <c r="AC85" s="354"/>
      <c r="AD85" s="354"/>
      <c r="AE85" s="354"/>
      <c r="AF85" s="354"/>
      <c r="AG85" s="354"/>
      <c r="AH85" s="354"/>
      <c r="AI85" s="354"/>
    </row>
    <row r="86" spans="1:35" s="346" customFormat="1" ht="29.5" customHeight="1" x14ac:dyDescent="0.25">
      <c r="A86" s="410" t="s">
        <v>302</v>
      </c>
      <c r="B86" s="572" t="s">
        <v>1488</v>
      </c>
      <c r="C86" s="573"/>
      <c r="D86" s="573"/>
      <c r="E86" s="574"/>
      <c r="L86" s="424"/>
      <c r="M86" s="425"/>
      <c r="N86" s="393"/>
      <c r="O86" s="393"/>
      <c r="P86" s="393"/>
      <c r="Q86" s="393"/>
      <c r="R86" s="354"/>
      <c r="S86" s="354"/>
      <c r="U86" s="354"/>
      <c r="V86" s="354"/>
      <c r="W86" s="354"/>
      <c r="X86" s="354"/>
      <c r="Y86" s="354"/>
      <c r="Z86" s="354"/>
      <c r="AA86" s="354"/>
      <c r="AB86" s="354"/>
      <c r="AC86" s="354"/>
      <c r="AD86" s="354"/>
      <c r="AE86" s="354"/>
      <c r="AF86" s="354"/>
      <c r="AG86" s="354"/>
      <c r="AH86" s="354"/>
      <c r="AI86" s="354"/>
    </row>
    <row r="87" spans="1:35" s="346" customFormat="1" ht="30.4" customHeight="1" x14ac:dyDescent="0.25">
      <c r="A87" s="410" t="s">
        <v>303</v>
      </c>
      <c r="B87" s="570" t="s">
        <v>1489</v>
      </c>
      <c r="C87" s="579"/>
      <c r="D87" s="579"/>
      <c r="E87" s="571"/>
      <c r="L87" s="424"/>
      <c r="M87" s="425"/>
      <c r="N87" s="393"/>
      <c r="O87" s="393"/>
      <c r="P87" s="393"/>
      <c r="Q87" s="393"/>
      <c r="R87" s="354"/>
      <c r="S87" s="354"/>
      <c r="U87" s="354"/>
      <c r="V87" s="354"/>
      <c r="W87" s="354"/>
      <c r="X87" s="354"/>
      <c r="Y87" s="354"/>
      <c r="Z87" s="354"/>
      <c r="AA87" s="354"/>
      <c r="AB87" s="354"/>
      <c r="AC87" s="354"/>
      <c r="AD87" s="354"/>
      <c r="AE87" s="354"/>
      <c r="AF87" s="354"/>
      <c r="AG87" s="354"/>
      <c r="AH87" s="354"/>
      <c r="AI87" s="354"/>
    </row>
    <row r="88" spans="1:35" s="346" customFormat="1" ht="12.5" x14ac:dyDescent="0.25">
      <c r="A88" s="419" t="s">
        <v>304</v>
      </c>
      <c r="B88" s="560" t="s">
        <v>305</v>
      </c>
      <c r="C88" s="561"/>
      <c r="D88" s="562">
        <v>83</v>
      </c>
      <c r="E88" s="563"/>
      <c r="L88" s="424"/>
      <c r="M88" s="425"/>
      <c r="N88" s="393"/>
      <c r="O88" s="393"/>
      <c r="P88" s="393"/>
      <c r="Q88" s="393"/>
      <c r="R88" s="354"/>
      <c r="S88" s="354"/>
      <c r="U88" s="354"/>
      <c r="V88" s="354"/>
      <c r="W88" s="354"/>
      <c r="X88" s="354"/>
      <c r="Y88" s="354"/>
      <c r="Z88" s="354"/>
      <c r="AA88" s="354"/>
      <c r="AB88" s="354"/>
      <c r="AC88" s="354"/>
      <c r="AD88" s="354"/>
      <c r="AE88" s="354"/>
      <c r="AF88" s="354"/>
      <c r="AG88" s="354"/>
      <c r="AH88" s="354"/>
      <c r="AI88" s="354"/>
    </row>
    <row r="89" spans="1:35" s="346" customFormat="1" ht="45" customHeight="1" x14ac:dyDescent="0.25">
      <c r="A89" s="416" t="s">
        <v>306</v>
      </c>
      <c r="B89" s="570" t="s">
        <v>307</v>
      </c>
      <c r="C89" s="571"/>
      <c r="D89" s="562">
        <v>171.5</v>
      </c>
      <c r="E89" s="563"/>
      <c r="L89" s="424"/>
      <c r="M89" s="425"/>
      <c r="N89" s="393"/>
      <c r="O89" s="393"/>
      <c r="P89" s="393"/>
      <c r="Q89" s="393"/>
      <c r="R89" s="354"/>
      <c r="S89" s="431"/>
      <c r="U89" s="354"/>
      <c r="V89" s="354"/>
      <c r="W89" s="354"/>
      <c r="X89" s="354"/>
      <c r="Y89" s="354"/>
      <c r="Z89" s="354"/>
      <c r="AA89" s="354"/>
      <c r="AB89" s="354"/>
      <c r="AC89" s="354"/>
      <c r="AD89" s="354"/>
      <c r="AE89" s="354"/>
      <c r="AF89" s="354"/>
      <c r="AG89" s="354"/>
      <c r="AH89" s="354"/>
      <c r="AI89" s="354"/>
    </row>
    <row r="90" spans="1:35" s="346" customFormat="1" ht="15" customHeight="1" x14ac:dyDescent="0.25">
      <c r="A90" s="416" t="s">
        <v>308</v>
      </c>
      <c r="B90" s="570" t="s">
        <v>309</v>
      </c>
      <c r="C90" s="571"/>
      <c r="D90" s="577" t="s">
        <v>310</v>
      </c>
      <c r="E90" s="578"/>
      <c r="L90" s="424"/>
      <c r="M90" s="425"/>
      <c r="N90" s="393"/>
      <c r="O90" s="393"/>
      <c r="P90" s="393"/>
      <c r="Q90" s="393"/>
      <c r="R90" s="354"/>
      <c r="S90" s="354"/>
      <c r="U90" s="354"/>
      <c r="V90" s="354"/>
      <c r="W90" s="354"/>
      <c r="X90" s="354"/>
      <c r="Y90" s="354"/>
      <c r="Z90" s="354"/>
      <c r="AA90" s="354"/>
      <c r="AB90" s="354"/>
      <c r="AC90" s="354"/>
      <c r="AD90" s="354"/>
      <c r="AE90" s="354"/>
      <c r="AF90" s="354"/>
      <c r="AG90" s="354"/>
      <c r="AH90" s="354"/>
      <c r="AI90" s="354"/>
    </row>
    <row r="91" spans="1:35" s="346" customFormat="1" ht="15" customHeight="1" x14ac:dyDescent="0.25">
      <c r="A91" s="414" t="s">
        <v>311</v>
      </c>
      <c r="E91" s="432"/>
      <c r="L91" s="424"/>
      <c r="M91" s="425"/>
      <c r="N91" s="393"/>
      <c r="O91" s="393"/>
      <c r="P91" s="393"/>
      <c r="Q91" s="393"/>
      <c r="R91" s="354"/>
      <c r="S91" s="354"/>
      <c r="U91" s="354"/>
      <c r="V91" s="354"/>
      <c r="W91" s="354"/>
      <c r="X91" s="354"/>
      <c r="Y91" s="354"/>
      <c r="Z91" s="354"/>
      <c r="AA91" s="354"/>
      <c r="AB91" s="354"/>
      <c r="AC91" s="354"/>
      <c r="AD91" s="354"/>
      <c r="AE91" s="354"/>
      <c r="AF91" s="354"/>
      <c r="AG91" s="354"/>
      <c r="AH91" s="354"/>
      <c r="AI91" s="354"/>
    </row>
    <row r="92" spans="1:35" s="346" customFormat="1" ht="15" customHeight="1" x14ac:dyDescent="0.25">
      <c r="A92" s="346" t="s">
        <v>1490</v>
      </c>
      <c r="L92" s="424"/>
      <c r="M92" s="425"/>
      <c r="N92" s="393"/>
      <c r="O92" s="393"/>
      <c r="P92" s="393"/>
      <c r="Q92" s="393"/>
      <c r="R92" s="354"/>
      <c r="S92" s="433"/>
      <c r="U92" s="354"/>
      <c r="V92" s="354"/>
      <c r="W92" s="354"/>
      <c r="X92" s="354"/>
      <c r="Y92" s="354"/>
      <c r="Z92" s="354"/>
      <c r="AA92" s="354"/>
      <c r="AB92" s="354"/>
      <c r="AC92" s="354"/>
      <c r="AD92" s="354"/>
      <c r="AE92" s="354"/>
      <c r="AF92" s="354"/>
      <c r="AG92" s="354"/>
      <c r="AH92" s="354"/>
      <c r="AI92" s="354"/>
    </row>
    <row r="93" spans="1:35" s="381" customFormat="1" hidden="1" x14ac:dyDescent="0.3"/>
    <row r="94" spans="1:35" s="381" customFormat="1" hidden="1" x14ac:dyDescent="0.3"/>
  </sheetData>
  <mergeCells count="59">
    <mergeCell ref="B89:C89"/>
    <mergeCell ref="D89:E89"/>
    <mergeCell ref="B90:C90"/>
    <mergeCell ref="D90:E90"/>
    <mergeCell ref="B87:E87"/>
    <mergeCell ref="B88:C88"/>
    <mergeCell ref="D88:E88"/>
    <mergeCell ref="B85:C85"/>
    <mergeCell ref="D85:E85"/>
    <mergeCell ref="B86:E86"/>
    <mergeCell ref="B83:C83"/>
    <mergeCell ref="D83:E83"/>
    <mergeCell ref="B84:C84"/>
    <mergeCell ref="D84:E84"/>
    <mergeCell ref="B81:C81"/>
    <mergeCell ref="D81:E81"/>
    <mergeCell ref="B82:C82"/>
    <mergeCell ref="D82:E82"/>
    <mergeCell ref="B79:C79"/>
    <mergeCell ref="D79:E79"/>
    <mergeCell ref="B80:C80"/>
    <mergeCell ref="D80:E80"/>
    <mergeCell ref="A77:A78"/>
    <mergeCell ref="B77:C77"/>
    <mergeCell ref="D77:E77"/>
    <mergeCell ref="B78:C78"/>
    <mergeCell ref="D78:E78"/>
    <mergeCell ref="A75:A76"/>
    <mergeCell ref="B75:C75"/>
    <mergeCell ref="D75:E75"/>
    <mergeCell ref="B76:C76"/>
    <mergeCell ref="D76:E76"/>
    <mergeCell ref="B73:C73"/>
    <mergeCell ref="D73:E73"/>
    <mergeCell ref="B74:C74"/>
    <mergeCell ref="D74:E74"/>
    <mergeCell ref="B71:C71"/>
    <mergeCell ref="D71:E71"/>
    <mergeCell ref="B72:C72"/>
    <mergeCell ref="D72:E72"/>
    <mergeCell ref="B69:C69"/>
    <mergeCell ref="D69:E69"/>
    <mergeCell ref="B70:C70"/>
    <mergeCell ref="D70:E70"/>
    <mergeCell ref="B62:C62"/>
    <mergeCell ref="D62:E62"/>
    <mergeCell ref="B68:C68"/>
    <mergeCell ref="D68:E68"/>
    <mergeCell ref="B61:C61"/>
    <mergeCell ref="D61:E61"/>
    <mergeCell ref="A13:A20"/>
    <mergeCell ref="A21:A22"/>
    <mergeCell ref="A23:A24"/>
    <mergeCell ref="A34:A37"/>
    <mergeCell ref="A1:J1"/>
    <mergeCell ref="A3:A10"/>
    <mergeCell ref="A11:A12"/>
    <mergeCell ref="A38:A40"/>
    <mergeCell ref="C41:I4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E52B-65DC-496A-8BBC-2CD0EB9B8498}">
  <dimension ref="A1:L63"/>
  <sheetViews>
    <sheetView zoomScaleNormal="100" zoomScaleSheetLayoutView="70" workbookViewId="0">
      <selection sqref="A1:B1"/>
    </sheetView>
  </sheetViews>
  <sheetFormatPr defaultColWidth="9.1796875" defaultRowHeight="15" customHeight="1" x14ac:dyDescent="0.35"/>
  <cols>
    <col min="1" max="1" width="8.26953125" style="7" bestFit="1" customWidth="1"/>
    <col min="2" max="2" width="51.54296875" style="6" customWidth="1"/>
    <col min="3" max="3" width="23.81640625" style="118" customWidth="1"/>
    <col min="4" max="4" width="16" style="3" customWidth="1"/>
    <col min="5" max="5" width="12.26953125" style="3" customWidth="1"/>
    <col min="6" max="6" width="16.54296875" style="3" customWidth="1"/>
    <col min="7" max="7" width="3.1796875" style="4" customWidth="1"/>
    <col min="8" max="8" width="16" style="3" customWidth="1"/>
    <col min="9" max="9" width="10.453125" style="3" customWidth="1"/>
    <col min="10" max="10" width="16.54296875" style="3" customWidth="1"/>
    <col min="11" max="11" width="11.7265625" style="2" customWidth="1"/>
    <col min="12" max="12" width="10.26953125" style="2" customWidth="1"/>
    <col min="13" max="16384" width="9.1796875" style="1"/>
  </cols>
  <sheetData>
    <row r="1" spans="1:12" s="58" customFormat="1" ht="76.5" thickBot="1" x14ac:dyDescent="0.45">
      <c r="A1" s="530" t="s">
        <v>642</v>
      </c>
      <c r="B1" s="580"/>
      <c r="C1" s="26" t="s">
        <v>2</v>
      </c>
      <c r="D1" s="26" t="s">
        <v>3</v>
      </c>
      <c r="E1" s="26" t="s">
        <v>4</v>
      </c>
      <c r="F1" s="26" t="s">
        <v>5</v>
      </c>
      <c r="G1" s="26"/>
      <c r="H1" s="26" t="s">
        <v>6</v>
      </c>
      <c r="I1" s="26" t="s">
        <v>4</v>
      </c>
      <c r="J1" s="26" t="s">
        <v>7</v>
      </c>
      <c r="K1" s="529" t="s">
        <v>8</v>
      </c>
      <c r="L1" s="529"/>
    </row>
    <row r="2" spans="1:12" ht="15" customHeight="1" thickTop="1" x14ac:dyDescent="0.35">
      <c r="A2" s="24"/>
      <c r="B2" s="336"/>
      <c r="C2" s="24"/>
      <c r="D2" s="22" t="s">
        <v>9</v>
      </c>
      <c r="E2" s="22" t="s">
        <v>9</v>
      </c>
      <c r="F2" s="22" t="s">
        <v>9</v>
      </c>
      <c r="G2" s="23"/>
      <c r="H2" s="22" t="s">
        <v>9</v>
      </c>
      <c r="I2" s="22" t="s">
        <v>9</v>
      </c>
      <c r="J2" s="22" t="s">
        <v>9</v>
      </c>
      <c r="K2" s="21" t="s">
        <v>9</v>
      </c>
      <c r="L2" s="20" t="s">
        <v>10</v>
      </c>
    </row>
    <row r="3" spans="1:12" ht="15" customHeight="1" thickBot="1" x14ac:dyDescent="0.4">
      <c r="A3" s="14"/>
      <c r="B3" s="260" t="s">
        <v>643</v>
      </c>
      <c r="C3" s="107"/>
      <c r="D3" s="10"/>
      <c r="E3" s="10"/>
      <c r="F3" s="10"/>
      <c r="G3" s="11"/>
      <c r="H3" s="10"/>
      <c r="I3" s="10"/>
      <c r="J3" s="10"/>
      <c r="K3" s="18"/>
      <c r="L3" s="18"/>
    </row>
    <row r="4" spans="1:12" ht="50.5" thickTop="1" thickBot="1" x14ac:dyDescent="0.4">
      <c r="A4" s="14"/>
      <c r="B4" s="268" t="s">
        <v>644</v>
      </c>
      <c r="C4" s="39"/>
      <c r="D4" s="10"/>
      <c r="E4" s="10"/>
      <c r="F4" s="10"/>
      <c r="G4" s="11"/>
      <c r="H4" s="10"/>
      <c r="I4" s="10"/>
      <c r="J4" s="10"/>
      <c r="K4" s="18"/>
      <c r="L4" s="18"/>
    </row>
    <row r="5" spans="1:12" ht="15" customHeight="1" x14ac:dyDescent="0.35">
      <c r="A5" s="14">
        <v>1</v>
      </c>
      <c r="B5" s="108" t="s">
        <v>579</v>
      </c>
      <c r="C5" s="16" t="s">
        <v>12</v>
      </c>
      <c r="D5" s="10">
        <v>350</v>
      </c>
      <c r="E5" s="109"/>
      <c r="F5" s="10">
        <f>SUM(D5:E5)</f>
        <v>350</v>
      </c>
      <c r="G5" s="15"/>
      <c r="H5" s="10">
        <f>MROUND((D5*(1+Sheet1!$C$3)),0.1)+0.4-5</f>
        <v>355</v>
      </c>
      <c r="I5" s="109"/>
      <c r="J5" s="10">
        <f>SUM(H5:I5)</f>
        <v>355</v>
      </c>
      <c r="K5" s="41">
        <f>J5-F5</f>
        <v>5</v>
      </c>
      <c r="L5" s="8">
        <f>IF(F5="","NEW",K5/F5)</f>
        <v>1.4285714285714285E-2</v>
      </c>
    </row>
    <row r="6" spans="1:12" ht="15" customHeight="1" x14ac:dyDescent="0.35">
      <c r="A6" s="14">
        <f>A5+1</f>
        <v>2</v>
      </c>
      <c r="B6" s="108" t="s">
        <v>584</v>
      </c>
      <c r="C6" s="16" t="s">
        <v>12</v>
      </c>
      <c r="D6" s="10">
        <v>600</v>
      </c>
      <c r="E6" s="109"/>
      <c r="F6" s="10">
        <f>SUM(D6:E6)</f>
        <v>600</v>
      </c>
      <c r="G6" s="15"/>
      <c r="H6" s="10">
        <f>MROUND((D6*(1+Sheet1!$C$3)),0.1)+3.5-10</f>
        <v>610</v>
      </c>
      <c r="I6" s="109"/>
      <c r="J6" s="10">
        <f>SUM(H6:I6)</f>
        <v>610</v>
      </c>
      <c r="K6" s="41">
        <f>J6-F6</f>
        <v>10</v>
      </c>
      <c r="L6" s="8">
        <f>IF(F6="","NEW",K6/F6)</f>
        <v>1.6666666666666666E-2</v>
      </c>
    </row>
    <row r="7" spans="1:12" ht="15" customHeight="1" x14ac:dyDescent="0.35">
      <c r="A7" s="14">
        <f>A6+1</f>
        <v>3</v>
      </c>
      <c r="B7" s="108" t="s">
        <v>645</v>
      </c>
      <c r="C7" s="16" t="s">
        <v>12</v>
      </c>
      <c r="D7" s="10">
        <v>100</v>
      </c>
      <c r="E7" s="109"/>
      <c r="F7" s="10">
        <f>SUM(D7:E7)</f>
        <v>100</v>
      </c>
      <c r="G7" s="15"/>
      <c r="H7" s="10">
        <f>MROUND((D7*(1+Sheet1!$C$3)),0.1)+2.2</f>
        <v>105.00000000000001</v>
      </c>
      <c r="I7" s="109"/>
      <c r="J7" s="10">
        <f>SUM(H7:I7)</f>
        <v>105.00000000000001</v>
      </c>
      <c r="K7" s="41">
        <f>J7-F7</f>
        <v>5.0000000000000142</v>
      </c>
      <c r="L7" s="8">
        <f>IF(F7="","NEW",K7/F7)</f>
        <v>5.0000000000000142E-2</v>
      </c>
    </row>
    <row r="8" spans="1:12" ht="15" customHeight="1" x14ac:dyDescent="0.35">
      <c r="A8" s="14"/>
      <c r="B8" s="110"/>
      <c r="C8" s="16"/>
      <c r="D8" s="10"/>
      <c r="E8" s="15"/>
      <c r="F8" s="10"/>
      <c r="G8" s="15"/>
      <c r="H8" s="10"/>
      <c r="I8" s="109"/>
      <c r="J8" s="10"/>
      <c r="K8" s="41"/>
      <c r="L8" s="8"/>
    </row>
    <row r="9" spans="1:12" ht="15" customHeight="1" thickBot="1" x14ac:dyDescent="0.4">
      <c r="A9" s="14"/>
      <c r="B9" s="262" t="s">
        <v>646</v>
      </c>
      <c r="C9" s="16"/>
      <c r="D9" s="10"/>
      <c r="E9" s="15"/>
      <c r="F9" s="10"/>
      <c r="G9" s="15"/>
      <c r="H9" s="10"/>
      <c r="I9" s="109"/>
      <c r="J9" s="10"/>
      <c r="K9" s="41"/>
      <c r="L9" s="8"/>
    </row>
    <row r="10" spans="1:12" ht="15" customHeight="1" x14ac:dyDescent="0.35">
      <c r="A10" s="14">
        <f>A7+1</f>
        <v>4</v>
      </c>
      <c r="B10" s="108" t="s">
        <v>579</v>
      </c>
      <c r="C10" s="16" t="s">
        <v>12</v>
      </c>
      <c r="D10" s="10">
        <v>200</v>
      </c>
      <c r="E10" s="109"/>
      <c r="F10" s="10">
        <f>SUM(D10:E10)</f>
        <v>200</v>
      </c>
      <c r="G10" s="15"/>
      <c r="H10" s="10">
        <f>MROUND((D10*(1+Sheet1!$C$3)),0.1)-0.5</f>
        <v>205</v>
      </c>
      <c r="I10" s="109"/>
      <c r="J10" s="10">
        <f>SUM(H10:I10)</f>
        <v>205</v>
      </c>
      <c r="K10" s="41">
        <f>J10-F10</f>
        <v>5</v>
      </c>
      <c r="L10" s="8">
        <f>IF(F10="","NEW",K10/F10)</f>
        <v>2.5000000000000001E-2</v>
      </c>
    </row>
    <row r="11" spans="1:12" ht="15" customHeight="1" x14ac:dyDescent="0.35">
      <c r="A11" s="14">
        <f>A10+1</f>
        <v>5</v>
      </c>
      <c r="B11" s="108" t="s">
        <v>584</v>
      </c>
      <c r="C11" s="16" t="s">
        <v>12</v>
      </c>
      <c r="D11" s="10">
        <v>400</v>
      </c>
      <c r="E11" s="109"/>
      <c r="F11" s="10">
        <f>SUM(D11:E11)</f>
        <v>400</v>
      </c>
      <c r="G11" s="15"/>
      <c r="H11" s="10">
        <f>MROUND((D11*(1+Sheet1!$C$3)),0.1)-1</f>
        <v>410</v>
      </c>
      <c r="I11" s="109"/>
      <c r="J11" s="10">
        <f>SUM(H11:I11)</f>
        <v>410</v>
      </c>
      <c r="K11" s="41">
        <f>J11-F11</f>
        <v>10</v>
      </c>
      <c r="L11" s="8">
        <f>IF(F11="","NEW",K11/F11)</f>
        <v>2.5000000000000001E-2</v>
      </c>
    </row>
    <row r="12" spans="1:12" ht="15" customHeight="1" x14ac:dyDescent="0.35">
      <c r="A12" s="14">
        <f>A11+1</f>
        <v>6</v>
      </c>
      <c r="B12" s="108" t="s">
        <v>645</v>
      </c>
      <c r="C12" s="16" t="s">
        <v>12</v>
      </c>
      <c r="D12" s="10">
        <v>55</v>
      </c>
      <c r="E12" s="109"/>
      <c r="F12" s="10">
        <f>SUM(D12:E12)</f>
        <v>55</v>
      </c>
      <c r="G12" s="15"/>
      <c r="H12" s="10">
        <f>MROUND((D12*(1+Sheet1!$C$3)),0.1)-0.5</f>
        <v>56</v>
      </c>
      <c r="I12" s="109"/>
      <c r="J12" s="10">
        <f>SUM(H12:I12)</f>
        <v>56</v>
      </c>
      <c r="K12" s="41">
        <f>J12-F12</f>
        <v>1</v>
      </c>
      <c r="L12" s="8">
        <f>IF(F12="","NEW",K12/F12)</f>
        <v>1.8181818181818181E-2</v>
      </c>
    </row>
    <row r="13" spans="1:12" ht="15" customHeight="1" x14ac:dyDescent="0.35">
      <c r="A13" s="14"/>
      <c r="B13" s="110"/>
      <c r="C13" s="16"/>
      <c r="D13" s="10"/>
      <c r="E13" s="109"/>
      <c r="F13" s="10"/>
      <c r="G13" s="15"/>
      <c r="H13" s="10"/>
      <c r="I13" s="109"/>
      <c r="J13" s="10"/>
      <c r="K13" s="41"/>
      <c r="L13" s="8"/>
    </row>
    <row r="14" spans="1:12" ht="15" customHeight="1" thickBot="1" x14ac:dyDescent="0.4">
      <c r="A14" s="14"/>
      <c r="B14" s="262" t="s">
        <v>647</v>
      </c>
      <c r="C14" s="16"/>
      <c r="D14" s="10"/>
      <c r="E14" s="109"/>
      <c r="F14" s="10"/>
      <c r="G14" s="15"/>
      <c r="H14" s="10"/>
      <c r="I14" s="109"/>
      <c r="J14" s="10"/>
      <c r="K14" s="41"/>
      <c r="L14" s="8"/>
    </row>
    <row r="15" spans="1:12" ht="15" customHeight="1" x14ac:dyDescent="0.35">
      <c r="A15" s="14">
        <f>A12+1</f>
        <v>7</v>
      </c>
      <c r="B15" s="108" t="s">
        <v>579</v>
      </c>
      <c r="C15" s="16" t="s">
        <v>12</v>
      </c>
      <c r="D15" s="10">
        <v>130</v>
      </c>
      <c r="E15" s="109"/>
      <c r="F15" s="10">
        <f>SUM(D15:E15)</f>
        <v>130</v>
      </c>
      <c r="G15" s="15"/>
      <c r="H15" s="10">
        <f>MROUND((D15*(1+Sheet1!$C$3)),0.1)+1.4</f>
        <v>135</v>
      </c>
      <c r="I15" s="109"/>
      <c r="J15" s="10">
        <f>SUM(H15:I15)</f>
        <v>135</v>
      </c>
      <c r="K15" s="41">
        <f>J15-F15</f>
        <v>5</v>
      </c>
      <c r="L15" s="8">
        <f>IF(F15="","NEW",K15/F15)</f>
        <v>3.8461538461538464E-2</v>
      </c>
    </row>
    <row r="16" spans="1:12" ht="15" customHeight="1" x14ac:dyDescent="0.35">
      <c r="A16" s="14">
        <f>A15+1</f>
        <v>8</v>
      </c>
      <c r="B16" s="108" t="s">
        <v>584</v>
      </c>
      <c r="C16" s="16" t="s">
        <v>12</v>
      </c>
      <c r="D16" s="10">
        <v>260</v>
      </c>
      <c r="E16" s="109"/>
      <c r="F16" s="10">
        <f>SUM(D16:E16)</f>
        <v>260</v>
      </c>
      <c r="G16" s="15"/>
      <c r="H16" s="10">
        <f>MROUND((D16*(1+Sheet1!$C$3)),0.1)+2.8</f>
        <v>270</v>
      </c>
      <c r="I16" s="109"/>
      <c r="J16" s="10">
        <f>SUM(H16:I16)</f>
        <v>270</v>
      </c>
      <c r="K16" s="41">
        <f>J16-F16</f>
        <v>10</v>
      </c>
      <c r="L16" s="8">
        <f>IF(F16="","NEW",K16/F16)</f>
        <v>3.8461538461538464E-2</v>
      </c>
    </row>
    <row r="17" spans="1:12" ht="15" customHeight="1" x14ac:dyDescent="0.35">
      <c r="A17" s="14">
        <f>A16+1</f>
        <v>9</v>
      </c>
      <c r="B17" s="108" t="s">
        <v>645</v>
      </c>
      <c r="C17" s="16" t="s">
        <v>12</v>
      </c>
      <c r="D17" s="10">
        <v>40</v>
      </c>
      <c r="E17" s="109"/>
      <c r="F17" s="10">
        <f>SUM(D17:E17)</f>
        <v>40</v>
      </c>
      <c r="G17" s="15"/>
      <c r="H17" s="10">
        <f>MROUND((D17*(1+Sheet1!$C$3)),0.1)+1.4</f>
        <v>42.5</v>
      </c>
      <c r="I17" s="109"/>
      <c r="J17" s="10">
        <f>SUM(H17:I17)</f>
        <v>42.5</v>
      </c>
      <c r="K17" s="41">
        <f>J17-F17</f>
        <v>2.5</v>
      </c>
      <c r="L17" s="8">
        <f>IF(F17="","NEW",K17/F17)</f>
        <v>6.25E-2</v>
      </c>
    </row>
    <row r="18" spans="1:12" ht="15.5" x14ac:dyDescent="0.35">
      <c r="A18" s="14">
        <f>A17+1</f>
        <v>10</v>
      </c>
      <c r="B18" s="108" t="s">
        <v>648</v>
      </c>
      <c r="C18" s="16" t="s">
        <v>12</v>
      </c>
      <c r="D18" s="10">
        <v>85</v>
      </c>
      <c r="E18" s="109"/>
      <c r="F18" s="10">
        <f>SUM(D18:E18)</f>
        <v>85</v>
      </c>
      <c r="G18" s="15"/>
      <c r="H18" s="10">
        <f>MROUND((D18*(1+Sheet1!$C$3)),0.1)+2.7</f>
        <v>90.000000000000014</v>
      </c>
      <c r="I18" s="109"/>
      <c r="J18" s="10">
        <f>SUM(H18:I18)</f>
        <v>90.000000000000014</v>
      </c>
      <c r="K18" s="41">
        <f>J18-F18</f>
        <v>5.0000000000000142</v>
      </c>
      <c r="L18" s="8">
        <f>IF(F18="","NEW",K18/F18)</f>
        <v>5.8823529411764872E-2</v>
      </c>
    </row>
    <row r="19" spans="1:12" ht="15" customHeight="1" x14ac:dyDescent="0.35">
      <c r="A19" s="14"/>
      <c r="B19" s="110"/>
      <c r="C19" s="16"/>
      <c r="D19" s="10"/>
      <c r="E19" s="15"/>
      <c r="F19" s="10"/>
      <c r="G19" s="15"/>
      <c r="H19" s="10"/>
      <c r="I19" s="109"/>
      <c r="J19" s="10"/>
      <c r="K19" s="111"/>
      <c r="L19" s="8"/>
    </row>
    <row r="20" spans="1:12" ht="15" customHeight="1" thickBot="1" x14ac:dyDescent="0.4">
      <c r="A20" s="14"/>
      <c r="B20" s="262" t="s">
        <v>649</v>
      </c>
      <c r="C20" s="16"/>
      <c r="D20" s="10"/>
      <c r="E20" s="15"/>
      <c r="F20" s="10"/>
      <c r="G20" s="15"/>
      <c r="H20" s="10"/>
      <c r="I20" s="109"/>
      <c r="J20" s="10"/>
      <c r="K20" s="111"/>
      <c r="L20" s="8"/>
    </row>
    <row r="21" spans="1:12" ht="15" customHeight="1" x14ac:dyDescent="0.35">
      <c r="A21" s="14">
        <f>A18+1</f>
        <v>11</v>
      </c>
      <c r="B21" s="108" t="s">
        <v>579</v>
      </c>
      <c r="C21" s="16" t="s">
        <v>12</v>
      </c>
      <c r="D21" s="10">
        <v>80</v>
      </c>
      <c r="E21" s="109"/>
      <c r="F21" s="10">
        <f>SUM(D21:E21)</f>
        <v>80</v>
      </c>
      <c r="G21" s="15"/>
      <c r="H21" s="10">
        <f>MROUND((D21*(1+Sheet1!$C$3)),0.1)+2.8</f>
        <v>85</v>
      </c>
      <c r="I21" s="109"/>
      <c r="J21" s="10">
        <f>SUM(H21:I21)</f>
        <v>85</v>
      </c>
      <c r="K21" s="41">
        <f>J21-F21</f>
        <v>5</v>
      </c>
      <c r="L21" s="8">
        <f>IF(F21="","NEW",K21/F21)</f>
        <v>6.25E-2</v>
      </c>
    </row>
    <row r="22" spans="1:12" ht="15" customHeight="1" x14ac:dyDescent="0.35">
      <c r="A22" s="14">
        <f>A21+1</f>
        <v>12</v>
      </c>
      <c r="B22" s="108" t="s">
        <v>584</v>
      </c>
      <c r="C22" s="16" t="s">
        <v>12</v>
      </c>
      <c r="D22" s="10">
        <v>160</v>
      </c>
      <c r="E22" s="109"/>
      <c r="F22" s="10">
        <f>SUM(D22:E22)</f>
        <v>160</v>
      </c>
      <c r="G22" s="15"/>
      <c r="H22" s="10">
        <f>MROUND((D22*(1+Sheet1!$C$3)),0.1)+0.6</f>
        <v>165</v>
      </c>
      <c r="I22" s="109"/>
      <c r="J22" s="10">
        <f>SUM(H22:I22)</f>
        <v>165</v>
      </c>
      <c r="K22" s="41">
        <f>J22-F22</f>
        <v>5</v>
      </c>
      <c r="L22" s="8">
        <f>IF(F22="","NEW",K22/F22)</f>
        <v>3.125E-2</v>
      </c>
    </row>
    <row r="23" spans="1:12" ht="15" customHeight="1" x14ac:dyDescent="0.35">
      <c r="A23" s="14">
        <f>A22+1</f>
        <v>13</v>
      </c>
      <c r="B23" s="108" t="s">
        <v>645</v>
      </c>
      <c r="C23" s="16" t="s">
        <v>12</v>
      </c>
      <c r="D23" s="10">
        <v>30</v>
      </c>
      <c r="E23" s="109"/>
      <c r="F23" s="10">
        <f>SUM(D23:E23)</f>
        <v>30</v>
      </c>
      <c r="G23" s="15"/>
      <c r="H23" s="10">
        <f>MROUND((D23*(1+Sheet1!$C$3)),0.1)+1.7</f>
        <v>32.5</v>
      </c>
      <c r="I23" s="109"/>
      <c r="J23" s="10">
        <f>SUM(H23:I23)</f>
        <v>32.5</v>
      </c>
      <c r="K23" s="41">
        <f>J23-F23</f>
        <v>2.5</v>
      </c>
      <c r="L23" s="8">
        <f>IF(F23="","NEW",K23/F23)</f>
        <v>8.3333333333333329E-2</v>
      </c>
    </row>
    <row r="24" spans="1:12" ht="15.5" x14ac:dyDescent="0.35">
      <c r="A24" s="14">
        <f>A23+1</f>
        <v>14</v>
      </c>
      <c r="B24" s="108" t="s">
        <v>648</v>
      </c>
      <c r="C24" s="16" t="s">
        <v>12</v>
      </c>
      <c r="D24" s="10">
        <v>60</v>
      </c>
      <c r="E24" s="109"/>
      <c r="F24" s="10">
        <f>SUM(D24:E24)</f>
        <v>60</v>
      </c>
      <c r="G24" s="15"/>
      <c r="H24" s="10">
        <f>MROUND((D24*(1+Sheet1!$C$3)),0.1)+3.3</f>
        <v>65</v>
      </c>
      <c r="I24" s="109"/>
      <c r="J24" s="10">
        <f>SUM(H24:I24)</f>
        <v>65</v>
      </c>
      <c r="K24" s="41">
        <f>J24-F24</f>
        <v>5</v>
      </c>
      <c r="L24" s="8">
        <f>IF(F24="","NEW",K24/F24)</f>
        <v>8.3333333333333329E-2</v>
      </c>
    </row>
    <row r="25" spans="1:12" ht="15" customHeight="1" x14ac:dyDescent="0.35">
      <c r="A25" s="14"/>
      <c r="B25" s="110"/>
      <c r="C25" s="16"/>
      <c r="D25" s="10"/>
      <c r="E25" s="15"/>
      <c r="F25" s="10"/>
      <c r="G25" s="15"/>
      <c r="H25" s="10"/>
      <c r="I25" s="109"/>
      <c r="J25" s="10"/>
      <c r="K25" s="111"/>
      <c r="L25" s="8"/>
    </row>
    <row r="26" spans="1:12" ht="15" customHeight="1" thickBot="1" x14ac:dyDescent="0.4">
      <c r="A26" s="14"/>
      <c r="B26" s="262" t="s">
        <v>650</v>
      </c>
      <c r="C26" s="16"/>
      <c r="D26" s="10"/>
      <c r="E26" s="15"/>
      <c r="F26" s="10"/>
      <c r="G26" s="15"/>
      <c r="H26" s="10"/>
      <c r="I26" s="109"/>
      <c r="J26" s="10"/>
      <c r="K26" s="111"/>
      <c r="L26" s="8"/>
    </row>
    <row r="27" spans="1:12" ht="15.5" x14ac:dyDescent="0.35">
      <c r="A27" s="14">
        <f>A24+1</f>
        <v>15</v>
      </c>
      <c r="B27" s="108" t="s">
        <v>579</v>
      </c>
      <c r="C27" s="16" t="s">
        <v>12</v>
      </c>
      <c r="D27" s="10">
        <v>50</v>
      </c>
      <c r="E27" s="109"/>
      <c r="F27" s="10">
        <f>SUM(D27:E27)</f>
        <v>50</v>
      </c>
      <c r="G27" s="15"/>
      <c r="H27" s="10">
        <f>MROUND((D27*(1+Sheet1!$C$3)),0.1)+1.1</f>
        <v>52.500000000000007</v>
      </c>
      <c r="I27" s="109"/>
      <c r="J27" s="10">
        <f>SUM(H27:I27)</f>
        <v>52.500000000000007</v>
      </c>
      <c r="K27" s="41">
        <f>J27-F27</f>
        <v>2.5000000000000071</v>
      </c>
      <c r="L27" s="8">
        <f>IF(F27="","NEW",K27/F27)</f>
        <v>5.0000000000000142E-2</v>
      </c>
    </row>
    <row r="28" spans="1:12" ht="15.5" x14ac:dyDescent="0.35">
      <c r="A28" s="14">
        <f>A27+1</f>
        <v>16</v>
      </c>
      <c r="B28" s="108" t="s">
        <v>584</v>
      </c>
      <c r="C28" s="16" t="s">
        <v>12</v>
      </c>
      <c r="D28" s="10">
        <v>95</v>
      </c>
      <c r="E28" s="109"/>
      <c r="F28" s="10">
        <f>SUM(D28:E28)</f>
        <v>95</v>
      </c>
      <c r="G28" s="15"/>
      <c r="H28" s="10">
        <f>MROUND((D28*(1+Sheet1!$C$3)),0.1)+2.4</f>
        <v>100.00000000000001</v>
      </c>
      <c r="I28" s="109"/>
      <c r="J28" s="10">
        <f>SUM(H28:I28)</f>
        <v>100.00000000000001</v>
      </c>
      <c r="K28" s="41">
        <f>J28-F28</f>
        <v>5.0000000000000142</v>
      </c>
      <c r="L28" s="8">
        <f>IF(F28="","NEW",K28/F28)</f>
        <v>5.2631578947368571E-2</v>
      </c>
    </row>
    <row r="29" spans="1:12" ht="15" customHeight="1" x14ac:dyDescent="0.35">
      <c r="A29" s="14">
        <f>A28+1</f>
        <v>17</v>
      </c>
      <c r="B29" s="108" t="s">
        <v>645</v>
      </c>
      <c r="C29" s="16" t="s">
        <v>12</v>
      </c>
      <c r="D29" s="10">
        <v>20</v>
      </c>
      <c r="E29" s="109"/>
      <c r="F29" s="10">
        <f>SUM(D29:E29)</f>
        <v>20</v>
      </c>
      <c r="G29" s="15"/>
      <c r="H29" s="10">
        <f>MROUND((D29*(1+Sheet1!$C$3)),0.1)+1.9</f>
        <v>22.5</v>
      </c>
      <c r="I29" s="109"/>
      <c r="J29" s="10">
        <f>SUM(H29:I29)</f>
        <v>22.5</v>
      </c>
      <c r="K29" s="41">
        <f>J29-F29</f>
        <v>2.5</v>
      </c>
      <c r="L29" s="8">
        <f>IF(F29="","NEW",K29/F29)</f>
        <v>0.125</v>
      </c>
    </row>
    <row r="30" spans="1:12" ht="15" customHeight="1" x14ac:dyDescent="0.35">
      <c r="A30" s="14"/>
      <c r="B30" s="108"/>
      <c r="C30" s="16"/>
      <c r="D30" s="10"/>
      <c r="E30" s="15"/>
      <c r="F30" s="10"/>
      <c r="G30" s="15"/>
      <c r="H30" s="10"/>
      <c r="I30" s="109"/>
      <c r="J30" s="10"/>
      <c r="K30" s="41"/>
      <c r="L30" s="8"/>
    </row>
    <row r="31" spans="1:12" ht="27.75" customHeight="1" thickBot="1" x14ac:dyDescent="0.4">
      <c r="A31" s="14"/>
      <c r="B31" s="262" t="s">
        <v>651</v>
      </c>
      <c r="C31" s="16"/>
      <c r="D31" s="10"/>
      <c r="E31" s="15"/>
      <c r="F31" s="10"/>
      <c r="G31" s="15"/>
      <c r="H31" s="10"/>
      <c r="I31" s="109"/>
      <c r="J31" s="10"/>
      <c r="K31" s="41"/>
      <c r="L31" s="8"/>
    </row>
    <row r="32" spans="1:12" ht="15" customHeight="1" x14ac:dyDescent="0.35">
      <c r="A32" s="14">
        <f>A29+1</f>
        <v>18</v>
      </c>
      <c r="B32" s="108" t="s">
        <v>652</v>
      </c>
      <c r="C32" s="16" t="s">
        <v>12</v>
      </c>
      <c r="D32" s="10">
        <v>30</v>
      </c>
      <c r="E32" s="109"/>
      <c r="F32" s="10">
        <f>SUM(D32:E32)</f>
        <v>30</v>
      </c>
      <c r="G32" s="15"/>
      <c r="H32" s="10">
        <f>MROUND((D32*(1+Sheet1!$C$3)),0.1)+1.7</f>
        <v>32.5</v>
      </c>
      <c r="I32" s="109"/>
      <c r="J32" s="10">
        <f>SUM(H32:I32)</f>
        <v>32.5</v>
      </c>
      <c r="K32" s="41">
        <f>J32-F32</f>
        <v>2.5</v>
      </c>
      <c r="L32" s="8">
        <f>IF(F32="","NEW",K32/F32)</f>
        <v>8.3333333333333329E-2</v>
      </c>
    </row>
    <row r="33" spans="1:12" ht="15" customHeight="1" x14ac:dyDescent="0.35">
      <c r="A33" s="14">
        <f>A32+1</f>
        <v>19</v>
      </c>
      <c r="B33" s="108" t="s">
        <v>653</v>
      </c>
      <c r="C33" s="16" t="s">
        <v>12</v>
      </c>
      <c r="D33" s="10">
        <v>50</v>
      </c>
      <c r="E33" s="109"/>
      <c r="F33" s="10">
        <f>SUM(D33:E33)</f>
        <v>50</v>
      </c>
      <c r="G33" s="15"/>
      <c r="H33" s="10">
        <f>MROUND((D33*(1+Sheet1!$C$3)),0.1)+3.6</f>
        <v>55.000000000000007</v>
      </c>
      <c r="I33" s="109"/>
      <c r="J33" s="10">
        <f>SUM(H33:I33)</f>
        <v>55.000000000000007</v>
      </c>
      <c r="K33" s="41">
        <f>J33-F33</f>
        <v>5.0000000000000071</v>
      </c>
      <c r="L33" s="8">
        <f>IF(F33="","NEW",K33/F33)</f>
        <v>0.10000000000000014</v>
      </c>
    </row>
    <row r="34" spans="1:12" ht="15" customHeight="1" x14ac:dyDescent="0.35">
      <c r="A34" s="14">
        <f>A33+1</f>
        <v>20</v>
      </c>
      <c r="B34" s="108" t="s">
        <v>654</v>
      </c>
      <c r="C34" s="16" t="s">
        <v>12</v>
      </c>
      <c r="D34" s="10">
        <v>75</v>
      </c>
      <c r="E34" s="109"/>
      <c r="F34" s="10">
        <f>SUM(D34:E34)</f>
        <v>75</v>
      </c>
      <c r="G34" s="15"/>
      <c r="H34" s="10">
        <f>MROUND((D34*(1+Sheet1!$C$3)),0.1)+2.9</f>
        <v>80.000000000000014</v>
      </c>
      <c r="I34" s="109"/>
      <c r="J34" s="10">
        <f>SUM(H34:I34)</f>
        <v>80.000000000000014</v>
      </c>
      <c r="K34" s="41">
        <f>J34-F34</f>
        <v>5.0000000000000142</v>
      </c>
      <c r="L34" s="8">
        <f>IF(F34="","NEW",K34/F34)</f>
        <v>6.666666666666686E-2</v>
      </c>
    </row>
    <row r="35" spans="1:12" ht="15" customHeight="1" x14ac:dyDescent="0.35">
      <c r="A35" s="14"/>
      <c r="B35" s="108"/>
      <c r="C35" s="16"/>
      <c r="D35" s="10"/>
      <c r="E35" s="15"/>
      <c r="F35" s="10"/>
      <c r="G35" s="15"/>
      <c r="H35" s="10"/>
      <c r="I35" s="109"/>
      <c r="J35" s="10"/>
      <c r="K35" s="41"/>
      <c r="L35" s="8"/>
    </row>
    <row r="36" spans="1:12" ht="15" customHeight="1" thickBot="1" x14ac:dyDescent="0.4">
      <c r="A36" s="14"/>
      <c r="B36" s="262" t="s">
        <v>655</v>
      </c>
      <c r="C36" s="16"/>
      <c r="D36" s="10"/>
      <c r="E36" s="15"/>
      <c r="F36" s="10"/>
      <c r="G36" s="15"/>
      <c r="H36" s="10"/>
      <c r="I36" s="109"/>
      <c r="J36" s="10"/>
      <c r="K36" s="111"/>
      <c r="L36" s="8"/>
    </row>
    <row r="37" spans="1:12" ht="15" customHeight="1" x14ac:dyDescent="0.35">
      <c r="A37" s="14">
        <f>A34+1</f>
        <v>21</v>
      </c>
      <c r="B37" s="108" t="s">
        <v>656</v>
      </c>
      <c r="C37" s="16" t="s">
        <v>12</v>
      </c>
      <c r="D37" s="10">
        <v>50</v>
      </c>
      <c r="E37" s="15">
        <f>ROUND(D37*0.2,2)</f>
        <v>10</v>
      </c>
      <c r="F37" s="10">
        <f>SUM(D37:E37)</f>
        <v>60</v>
      </c>
      <c r="G37" s="15"/>
      <c r="H37" s="10">
        <f>MROUND((D37*(1+Sheet1!$C$3)),0.1)+0.68</f>
        <v>52.080000000000005</v>
      </c>
      <c r="I37" s="15">
        <f>ROUND(H37*0.2,2)</f>
        <v>10.42</v>
      </c>
      <c r="J37" s="10">
        <f>SUM(H37:I37)</f>
        <v>62.500000000000007</v>
      </c>
      <c r="K37" s="41">
        <f>J37-F37</f>
        <v>2.5000000000000071</v>
      </c>
      <c r="L37" s="8">
        <f>IF(F37="","NEW",K37/F37)</f>
        <v>4.1666666666666782E-2</v>
      </c>
    </row>
    <row r="38" spans="1:12" ht="31" x14ac:dyDescent="0.35">
      <c r="A38" s="14">
        <f t="shared" ref="A38:A40" si="0">A37+1</f>
        <v>22</v>
      </c>
      <c r="B38" s="13" t="s">
        <v>657</v>
      </c>
      <c r="C38" s="16" t="s">
        <v>12</v>
      </c>
      <c r="D38" s="112" t="s">
        <v>658</v>
      </c>
      <c r="E38" s="15"/>
      <c r="F38" s="112" t="s">
        <v>658</v>
      </c>
      <c r="G38" s="15"/>
      <c r="H38" s="112" t="s">
        <v>658</v>
      </c>
      <c r="I38" s="15"/>
      <c r="J38" s="112" t="s">
        <v>658</v>
      </c>
      <c r="K38" s="41"/>
      <c r="L38" s="8"/>
    </row>
    <row r="39" spans="1:12" ht="31" x14ac:dyDescent="0.35">
      <c r="A39" s="14">
        <f t="shared" si="0"/>
        <v>23</v>
      </c>
      <c r="B39" s="13" t="s">
        <v>659</v>
      </c>
      <c r="C39" s="16" t="s">
        <v>12</v>
      </c>
      <c r="D39" s="112" t="s">
        <v>658</v>
      </c>
      <c r="E39" s="15"/>
      <c r="F39" s="112" t="s">
        <v>658</v>
      </c>
      <c r="G39" s="15"/>
      <c r="H39" s="112" t="s">
        <v>658</v>
      </c>
      <c r="I39" s="15"/>
      <c r="J39" s="112" t="s">
        <v>658</v>
      </c>
      <c r="K39" s="41"/>
      <c r="L39" s="8"/>
    </row>
    <row r="40" spans="1:12" ht="15.5" x14ac:dyDescent="0.35">
      <c r="A40" s="14">
        <f t="shared" si="0"/>
        <v>24</v>
      </c>
      <c r="B40" s="13" t="s">
        <v>660</v>
      </c>
      <c r="C40" s="16" t="s">
        <v>12</v>
      </c>
      <c r="D40" s="112">
        <v>150</v>
      </c>
      <c r="E40" s="15">
        <f>ROUND(D40*0.2,2)</f>
        <v>30</v>
      </c>
      <c r="F40" s="10">
        <f>SUM(D40:E40)</f>
        <v>180</v>
      </c>
      <c r="G40" s="15"/>
      <c r="H40" s="112">
        <v>150</v>
      </c>
      <c r="I40" s="15">
        <f>ROUND(H40*0.2,2)</f>
        <v>30</v>
      </c>
      <c r="J40" s="10">
        <f>SUM(H40:I40)</f>
        <v>180</v>
      </c>
      <c r="K40" s="41">
        <f>J40-F40</f>
        <v>0</v>
      </c>
      <c r="L40" s="8">
        <f>IF(F40="","NEW",K40/F40)</f>
        <v>0</v>
      </c>
    </row>
    <row r="41" spans="1:12" ht="15.5" x14ac:dyDescent="0.35">
      <c r="A41" s="14"/>
      <c r="C41" s="16"/>
      <c r="D41" s="112"/>
      <c r="E41" s="15"/>
      <c r="F41" s="112"/>
      <c r="G41" s="15"/>
      <c r="H41" s="112"/>
      <c r="I41" s="15"/>
      <c r="J41" s="112"/>
      <c r="K41" s="41"/>
      <c r="L41" s="8"/>
    </row>
    <row r="42" spans="1:12" ht="33.5" thickBot="1" x14ac:dyDescent="0.4">
      <c r="A42" s="113"/>
      <c r="B42" s="262" t="s">
        <v>661</v>
      </c>
      <c r="C42" s="16"/>
      <c r="D42" s="10"/>
      <c r="E42" s="10"/>
      <c r="F42" s="10"/>
      <c r="G42" s="10"/>
      <c r="H42" s="10"/>
      <c r="I42" s="10"/>
      <c r="J42" s="10"/>
      <c r="K42" s="18"/>
      <c r="L42" s="8"/>
    </row>
    <row r="43" spans="1:12" ht="31" x14ac:dyDescent="0.35">
      <c r="A43" s="14">
        <f>A40+1</f>
        <v>25</v>
      </c>
      <c r="B43" s="13" t="s">
        <v>662</v>
      </c>
      <c r="C43" s="16" t="s">
        <v>12</v>
      </c>
      <c r="D43" s="10">
        <v>90</v>
      </c>
      <c r="E43" s="10"/>
      <c r="F43" s="10">
        <f>D43+E43</f>
        <v>90</v>
      </c>
      <c r="G43" s="10"/>
      <c r="H43" s="10">
        <f>MROUND((D43*(1+Sheet1!$C$3)),0.1)-0.5</f>
        <v>92</v>
      </c>
      <c r="I43" s="10"/>
      <c r="J43" s="10">
        <f>H43+I43</f>
        <v>92</v>
      </c>
      <c r="K43" s="41">
        <f>J43-F43</f>
        <v>2</v>
      </c>
      <c r="L43" s="8">
        <f>IF(F43="","NEW",K43/F43)</f>
        <v>2.2222222222222223E-2</v>
      </c>
    </row>
    <row r="44" spans="1:12" ht="31" x14ac:dyDescent="0.35">
      <c r="A44" s="14">
        <f>A43+1</f>
        <v>26</v>
      </c>
      <c r="B44" s="13" t="s">
        <v>663</v>
      </c>
      <c r="C44" s="16" t="s">
        <v>12</v>
      </c>
      <c r="D44" s="10">
        <v>180</v>
      </c>
      <c r="E44" s="10"/>
      <c r="F44" s="10">
        <f>D44+E44</f>
        <v>180</v>
      </c>
      <c r="G44" s="10"/>
      <c r="H44" s="10">
        <f>MROUND((D44*(1+Sheet1!$C$3)),0.1)</f>
        <v>185</v>
      </c>
      <c r="I44" s="10"/>
      <c r="J44" s="10">
        <f>H44+I44</f>
        <v>185</v>
      </c>
      <c r="K44" s="41">
        <f>J44-F44</f>
        <v>5</v>
      </c>
      <c r="L44" s="8">
        <f>IF(F44="","NEW",K44/F44)</f>
        <v>2.7777777777777776E-2</v>
      </c>
    </row>
    <row r="45" spans="1:12" ht="31" x14ac:dyDescent="0.35">
      <c r="A45" s="14">
        <f>A44+1</f>
        <v>27</v>
      </c>
      <c r="B45" s="108" t="s">
        <v>664</v>
      </c>
      <c r="C45" s="16" t="s">
        <v>12</v>
      </c>
      <c r="D45" s="10">
        <v>120</v>
      </c>
      <c r="E45" s="109"/>
      <c r="F45" s="10">
        <f>D45+E45</f>
        <v>120</v>
      </c>
      <c r="G45" s="15"/>
      <c r="H45" s="10">
        <f>MROUND((D45*(1+Sheet1!$C$3)),0.1)+1.7</f>
        <v>125.00000000000001</v>
      </c>
      <c r="I45" s="109"/>
      <c r="J45" s="10">
        <f>H45+I45</f>
        <v>125.00000000000001</v>
      </c>
      <c r="K45" s="41">
        <f>J45-F45</f>
        <v>5.0000000000000142</v>
      </c>
      <c r="L45" s="8">
        <f>IF(F45="","NEW",K45/F45)</f>
        <v>4.1666666666666782E-2</v>
      </c>
    </row>
    <row r="46" spans="1:12" ht="31" x14ac:dyDescent="0.35">
      <c r="A46" s="14">
        <f>A45+1</f>
        <v>28</v>
      </c>
      <c r="B46" s="108" t="s">
        <v>665</v>
      </c>
      <c r="C46" s="16" t="s">
        <v>12</v>
      </c>
      <c r="D46" s="10">
        <v>240</v>
      </c>
      <c r="E46" s="109"/>
      <c r="F46" s="10">
        <f>D46+E46</f>
        <v>240</v>
      </c>
      <c r="G46" s="15"/>
      <c r="H46" s="10">
        <f>MROUND((D46*(1+Sheet1!$C$3)),0.1)+3.4</f>
        <v>250.00000000000003</v>
      </c>
      <c r="I46" s="109"/>
      <c r="J46" s="10">
        <f>H46+I46</f>
        <v>250.00000000000003</v>
      </c>
      <c r="K46" s="41">
        <f>J46-F46</f>
        <v>10.000000000000028</v>
      </c>
      <c r="L46" s="8">
        <f>IF(F46="","NEW",K46/F46)</f>
        <v>4.1666666666666782E-2</v>
      </c>
    </row>
    <row r="47" spans="1:12" ht="15" customHeight="1" x14ac:dyDescent="0.35">
      <c r="A47" s="14"/>
      <c r="B47" s="13"/>
      <c r="C47" s="16"/>
      <c r="D47" s="15"/>
      <c r="E47" s="15"/>
      <c r="F47" s="15"/>
      <c r="G47" s="15"/>
      <c r="H47" s="15"/>
      <c r="I47" s="15"/>
      <c r="J47" s="15"/>
      <c r="K47" s="111"/>
      <c r="L47" s="8"/>
    </row>
    <row r="48" spans="1:12" s="249" customFormat="1" ht="18.5" thickBot="1" x14ac:dyDescent="0.4">
      <c r="A48" s="67"/>
      <c r="B48" s="260" t="s">
        <v>666</v>
      </c>
      <c r="C48" s="72"/>
      <c r="D48" s="114"/>
      <c r="E48" s="114"/>
      <c r="F48" s="114"/>
      <c r="G48" s="115"/>
      <c r="H48" s="114"/>
      <c r="I48" s="114"/>
      <c r="J48" s="114"/>
      <c r="K48" s="116"/>
      <c r="L48" s="75"/>
    </row>
    <row r="49" spans="1:12" s="249" customFormat="1" ht="16" thickTop="1" x14ac:dyDescent="0.35">
      <c r="A49" s="14">
        <f>A46+1</f>
        <v>29</v>
      </c>
      <c r="B49" s="108" t="s">
        <v>667</v>
      </c>
      <c r="C49" s="16" t="s">
        <v>12</v>
      </c>
      <c r="D49" s="10">
        <v>845</v>
      </c>
      <c r="E49" s="109"/>
      <c r="F49" s="10">
        <f>SUM(D49:E49)</f>
        <v>845</v>
      </c>
      <c r="G49" s="15"/>
      <c r="H49" s="10">
        <f>MROUND((D49*(1+Sheet1!$C$3)),0.1)+21.8</f>
        <v>890</v>
      </c>
      <c r="I49" s="109"/>
      <c r="J49" s="10">
        <f>SUM(H49:I49)</f>
        <v>890</v>
      </c>
      <c r="K49" s="41">
        <f>J49-F49</f>
        <v>45</v>
      </c>
      <c r="L49" s="8">
        <f>IF(F49="","NEW",K49/F49)</f>
        <v>5.3254437869822487E-2</v>
      </c>
    </row>
    <row r="50" spans="1:12" s="249" customFormat="1" ht="15.5" x14ac:dyDescent="0.35">
      <c r="A50" s="14">
        <f>1+A49</f>
        <v>30</v>
      </c>
      <c r="B50" s="108" t="s">
        <v>668</v>
      </c>
      <c r="C50" s="16" t="s">
        <v>12</v>
      </c>
      <c r="D50" s="10">
        <v>970</v>
      </c>
      <c r="E50" s="109"/>
      <c r="F50" s="10">
        <f>SUM(D50:E50)</f>
        <v>970</v>
      </c>
      <c r="G50" s="15"/>
      <c r="H50" s="10">
        <f>MROUND((D50*(1+Sheet1!$C$3)),0.1)+3.3</f>
        <v>1000</v>
      </c>
      <c r="I50" s="109"/>
      <c r="J50" s="10">
        <f>SUM(H50:I50)</f>
        <v>1000</v>
      </c>
      <c r="K50" s="41">
        <f>J50-F50</f>
        <v>30</v>
      </c>
      <c r="L50" s="8">
        <f>IF(F50="","NEW",K50/F50)</f>
        <v>3.0927835051546393E-2</v>
      </c>
    </row>
    <row r="51" spans="1:12" s="249" customFormat="1" ht="15.5" x14ac:dyDescent="0.35">
      <c r="A51" s="14">
        <f>A50+1</f>
        <v>31</v>
      </c>
      <c r="B51" s="108" t="s">
        <v>669</v>
      </c>
      <c r="C51" s="16" t="s">
        <v>12</v>
      </c>
      <c r="D51" s="10">
        <v>50</v>
      </c>
      <c r="E51" s="109"/>
      <c r="F51" s="10">
        <f>SUM(D51:E51)</f>
        <v>50</v>
      </c>
      <c r="G51" s="15"/>
      <c r="H51" s="10">
        <f>MROUND((D51*(1+Sheet1!$C$3)),0.1)+3.6</f>
        <v>55.000000000000007</v>
      </c>
      <c r="I51" s="109"/>
      <c r="J51" s="10">
        <f>SUM(H51:I51)</f>
        <v>55.000000000000007</v>
      </c>
      <c r="K51" s="41">
        <f>J51-F51</f>
        <v>5.0000000000000071</v>
      </c>
      <c r="L51" s="8">
        <f>IF(F51="","NEW",K51/F51)</f>
        <v>0.10000000000000014</v>
      </c>
    </row>
    <row r="52" spans="1:12" s="118" customFormat="1" ht="15" customHeight="1" x14ac:dyDescent="0.35">
      <c r="A52" s="7"/>
      <c r="B52" s="6"/>
      <c r="D52" s="3"/>
      <c r="E52" s="1"/>
      <c r="F52" s="3"/>
      <c r="G52" s="4"/>
      <c r="H52" s="3"/>
      <c r="I52" s="3"/>
      <c r="J52" s="3"/>
      <c r="K52" s="2"/>
      <c r="L52" s="2"/>
    </row>
    <row r="53" spans="1:12" s="118" customFormat="1" ht="15" customHeight="1" x14ac:dyDescent="0.35">
      <c r="A53" s="7"/>
      <c r="B53" s="6"/>
      <c r="D53" s="3"/>
      <c r="E53" s="1"/>
      <c r="F53" s="3"/>
      <c r="G53" s="4"/>
      <c r="H53" s="3"/>
      <c r="I53" s="3"/>
      <c r="J53" s="3"/>
      <c r="K53" s="2"/>
      <c r="L53" s="2"/>
    </row>
    <row r="54" spans="1:12" s="118" customFormat="1" ht="15" customHeight="1" x14ac:dyDescent="0.35">
      <c r="A54" s="7"/>
      <c r="B54" s="6"/>
      <c r="D54" s="3"/>
      <c r="E54" s="1"/>
      <c r="F54" s="3"/>
      <c r="G54" s="4"/>
      <c r="H54" s="3"/>
      <c r="I54" s="3"/>
      <c r="J54" s="3"/>
      <c r="K54" s="2"/>
      <c r="L54" s="2"/>
    </row>
    <row r="55" spans="1:12" ht="15" customHeight="1" x14ac:dyDescent="0.35">
      <c r="E55" s="1"/>
    </row>
    <row r="59" spans="1:12" s="3" customFormat="1" ht="15" customHeight="1" x14ac:dyDescent="0.35">
      <c r="A59" s="7"/>
      <c r="B59" s="6"/>
      <c r="C59" s="118"/>
      <c r="E59" s="1"/>
      <c r="G59" s="4"/>
      <c r="K59" s="2"/>
      <c r="L59" s="2"/>
    </row>
    <row r="60" spans="1:12" s="3" customFormat="1" ht="15" customHeight="1" x14ac:dyDescent="0.35">
      <c r="A60" s="7"/>
      <c r="B60" s="6"/>
      <c r="C60" s="118"/>
      <c r="E60" s="1"/>
      <c r="G60" s="4"/>
      <c r="K60" s="2"/>
      <c r="L60" s="2"/>
    </row>
    <row r="61" spans="1:12" s="3" customFormat="1" ht="15" customHeight="1" x14ac:dyDescent="0.35">
      <c r="A61" s="7"/>
      <c r="B61" s="6"/>
      <c r="C61" s="118"/>
      <c r="E61" s="1"/>
      <c r="G61" s="4"/>
      <c r="K61" s="2"/>
      <c r="L61" s="2"/>
    </row>
    <row r="62" spans="1:12" s="3" customFormat="1" ht="15" customHeight="1" x14ac:dyDescent="0.35">
      <c r="A62" s="7"/>
      <c r="B62" s="6"/>
      <c r="C62" s="118"/>
      <c r="E62" s="1"/>
      <c r="G62" s="4"/>
      <c r="K62" s="2"/>
      <c r="L62" s="2"/>
    </row>
    <row r="63" spans="1:12" s="3" customFormat="1" ht="15" customHeight="1" x14ac:dyDescent="0.35">
      <c r="A63" s="7"/>
      <c r="B63" s="6"/>
      <c r="C63" s="118"/>
      <c r="E63" s="1"/>
      <c r="G63" s="4"/>
      <c r="K63" s="2"/>
      <c r="L63" s="2"/>
    </row>
  </sheetData>
  <mergeCells count="2">
    <mergeCell ref="A1:B1"/>
    <mergeCell ref="K1:L1"/>
  </mergeCells>
  <conditionalFormatting sqref="L5:L19 L27:L35 L37:L46 L48:L51">
    <cfRule type="cellIs" dxfId="41" priority="33" operator="equal">
      <formula>"NEW"</formula>
    </cfRule>
  </conditionalFormatting>
  <conditionalFormatting sqref="L21:L25">
    <cfRule type="cellIs" dxfId="40" priority="1" operator="equal">
      <formula>"NEW"</formula>
    </cfRule>
  </conditionalFormatting>
  <dataValidations disablePrompts="1" count="1">
    <dataValidation type="list" allowBlank="1" showInputMessage="1" showErrorMessage="1" sqref="C2 C4:C51" xr:uid="{D565B284-3262-459B-9B47-2D54C84B0E49}">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7" fitToHeight="0" orientation="landscape" r:id="rId1"/>
  <headerFooter alignWithMargins="0">
    <oddHeader>&amp;L&amp;"Arial,Bold"&amp;16&amp;A&amp;C&amp;"Arial,Bold"&amp;16FEES AND CHARGES 2024/25</oddHeader>
    <oddFooter>&amp;L&amp;"Arial,Bold"&amp;16&amp;A&amp;C&amp;"Arial,Bold"&amp;16&amp;P</oddFooter>
  </headerFooter>
  <rowBreaks count="2" manualBreakCount="2">
    <brk id="24" max="11" man="1"/>
    <brk id="4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65D4-BC61-4EDF-BC3A-8BD15D5F2340}">
  <dimension ref="A1:M14"/>
  <sheetViews>
    <sheetView zoomScaleNormal="100" zoomScaleSheetLayoutView="70" workbookViewId="0">
      <selection sqref="A1:B1"/>
    </sheetView>
  </sheetViews>
  <sheetFormatPr defaultColWidth="9.1796875" defaultRowHeight="12.5" x14ac:dyDescent="0.25"/>
  <cols>
    <col min="1" max="1" width="5.7265625" style="128" customWidth="1"/>
    <col min="2" max="2" width="81" style="123" customWidth="1"/>
    <col min="3" max="3" width="21.81640625" style="123" customWidth="1"/>
    <col min="4" max="4" width="16" style="123" customWidth="1"/>
    <col min="5" max="5" width="10.54296875" style="123" customWidth="1"/>
    <col min="6" max="6" width="16.26953125" style="123" customWidth="1"/>
    <col min="7" max="7" width="3.453125" style="123" customWidth="1"/>
    <col min="8" max="8" width="16.26953125" style="123" customWidth="1"/>
    <col min="9" max="9" width="10.54296875" style="123" customWidth="1"/>
    <col min="10" max="10" width="16.26953125" style="123" customWidth="1"/>
    <col min="11" max="11" width="12.26953125" style="123" customWidth="1"/>
    <col min="12" max="12" width="11" style="123" customWidth="1"/>
    <col min="13" max="16384" width="9.1796875" style="123"/>
  </cols>
  <sheetData>
    <row r="1" spans="1:13" s="119" customFormat="1" ht="76.5" thickBot="1" x14ac:dyDescent="0.45">
      <c r="A1" s="520" t="s">
        <v>1</v>
      </c>
      <c r="B1" s="520"/>
      <c r="C1" s="26" t="s">
        <v>2</v>
      </c>
      <c r="D1" s="26" t="s">
        <v>3</v>
      </c>
      <c r="E1" s="26" t="s">
        <v>4</v>
      </c>
      <c r="F1" s="26" t="s">
        <v>5</v>
      </c>
      <c r="G1" s="26"/>
      <c r="H1" s="26" t="s">
        <v>6</v>
      </c>
      <c r="I1" s="26" t="s">
        <v>4</v>
      </c>
      <c r="J1" s="26" t="s">
        <v>7</v>
      </c>
      <c r="K1" s="522" t="s">
        <v>8</v>
      </c>
      <c r="L1" s="522"/>
    </row>
    <row r="2" spans="1:13" s="61" customFormat="1" ht="16" thickTop="1" x14ac:dyDescent="0.35">
      <c r="A2" s="120"/>
      <c r="B2" s="59"/>
      <c r="C2" s="39"/>
      <c r="D2" s="21" t="s">
        <v>9</v>
      </c>
      <c r="E2" s="21" t="s">
        <v>9</v>
      </c>
      <c r="F2" s="21" t="s">
        <v>9</v>
      </c>
      <c r="G2" s="32"/>
      <c r="H2" s="21" t="s">
        <v>9</v>
      </c>
      <c r="I2" s="21" t="s">
        <v>9</v>
      </c>
      <c r="J2" s="21" t="s">
        <v>9</v>
      </c>
      <c r="K2" s="21" t="s">
        <v>9</v>
      </c>
      <c r="L2" s="20" t="s">
        <v>10</v>
      </c>
    </row>
    <row r="3" spans="1:13" ht="18.5" thickBot="1" x14ac:dyDescent="0.3">
      <c r="A3" s="71"/>
      <c r="B3" s="269" t="s">
        <v>670</v>
      </c>
      <c r="C3" s="39"/>
      <c r="D3" s="121"/>
      <c r="E3" s="121"/>
      <c r="F3" s="121"/>
      <c r="G3" s="122"/>
      <c r="H3" s="121"/>
      <c r="I3" s="121"/>
      <c r="J3" s="121"/>
      <c r="K3" s="121"/>
      <c r="L3" s="121"/>
    </row>
    <row r="4" spans="1:13" ht="17.5" thickTop="1" thickBot="1" x14ac:dyDescent="0.3">
      <c r="A4" s="71"/>
      <c r="B4" s="263" t="s">
        <v>671</v>
      </c>
      <c r="C4" s="39"/>
      <c r="D4" s="121"/>
      <c r="E4" s="121"/>
      <c r="F4" s="121"/>
      <c r="G4" s="122"/>
      <c r="H4" s="121"/>
      <c r="I4" s="121"/>
      <c r="J4" s="121"/>
      <c r="K4" s="121"/>
      <c r="L4" s="121"/>
    </row>
    <row r="5" spans="1:13" ht="15.5" x14ac:dyDescent="0.25">
      <c r="A5" s="71"/>
      <c r="B5" s="19"/>
      <c r="C5" s="39"/>
      <c r="D5" s="121"/>
      <c r="E5" s="121"/>
      <c r="F5" s="121"/>
      <c r="G5" s="122"/>
      <c r="H5" s="121"/>
      <c r="I5" s="121"/>
      <c r="J5" s="121"/>
      <c r="K5" s="121"/>
      <c r="L5" s="121"/>
    </row>
    <row r="6" spans="1:13" ht="17" thickBot="1" x14ac:dyDescent="0.3">
      <c r="A6" s="71"/>
      <c r="B6" s="264" t="s">
        <v>672</v>
      </c>
      <c r="C6" s="39"/>
      <c r="D6" s="121"/>
      <c r="E6" s="121"/>
      <c r="F6" s="121"/>
      <c r="G6" s="122"/>
      <c r="H6" s="121"/>
      <c r="I6" s="121"/>
      <c r="J6" s="121"/>
      <c r="K6" s="121"/>
      <c r="L6" s="121"/>
    </row>
    <row r="7" spans="1:13" ht="15" customHeight="1" x14ac:dyDescent="0.35">
      <c r="A7" s="71">
        <v>1</v>
      </c>
      <c r="B7" s="70" t="s">
        <v>673</v>
      </c>
      <c r="C7" s="16" t="s">
        <v>19</v>
      </c>
      <c r="D7" s="124">
        <v>70</v>
      </c>
      <c r="E7" s="124"/>
      <c r="F7" s="124">
        <f>SUM(D7+E7)</f>
        <v>70</v>
      </c>
      <c r="G7" s="125"/>
      <c r="H7" s="124">
        <v>70</v>
      </c>
      <c r="I7" s="124"/>
      <c r="J7" s="124">
        <f>SUM(H7+I7)</f>
        <v>70</v>
      </c>
      <c r="K7" s="124">
        <f>J7-F7</f>
        <v>0</v>
      </c>
      <c r="L7" s="8">
        <f>IF(F7="","NEW",K7/F7)</f>
        <v>0</v>
      </c>
      <c r="M7" s="126"/>
    </row>
    <row r="8" spans="1:13" ht="30" customHeight="1" x14ac:dyDescent="0.35">
      <c r="A8" s="71">
        <v>2</v>
      </c>
      <c r="B8" s="70" t="s">
        <v>674</v>
      </c>
      <c r="C8" s="16" t="s">
        <v>19</v>
      </c>
      <c r="D8" s="124">
        <v>70</v>
      </c>
      <c r="E8" s="124"/>
      <c r="F8" s="124">
        <f>SUM(D8+E8)</f>
        <v>70</v>
      </c>
      <c r="G8" s="125"/>
      <c r="H8" s="124">
        <v>70</v>
      </c>
      <c r="I8" s="124"/>
      <c r="J8" s="124">
        <f>SUM(H8+I8)</f>
        <v>70</v>
      </c>
      <c r="K8" s="124">
        <f>J8-F8</f>
        <v>0</v>
      </c>
      <c r="L8" s="8">
        <f>IF(F8="","NEW",K8/F8)</f>
        <v>0</v>
      </c>
      <c r="M8" s="126"/>
    </row>
    <row r="9" spans="1:13" ht="30" customHeight="1" x14ac:dyDescent="0.35">
      <c r="A9" s="71">
        <v>3</v>
      </c>
      <c r="B9" s="70" t="s">
        <v>675</v>
      </c>
      <c r="C9" s="16" t="s">
        <v>19</v>
      </c>
      <c r="D9" s="124">
        <v>70</v>
      </c>
      <c r="E9" s="15"/>
      <c r="F9" s="124">
        <f>SUM(D9+E9)</f>
        <v>70</v>
      </c>
      <c r="G9" s="125"/>
      <c r="H9" s="124">
        <v>70</v>
      </c>
      <c r="I9" s="15"/>
      <c r="J9" s="124">
        <f>SUM(H9+I9)</f>
        <v>70</v>
      </c>
      <c r="K9" s="124">
        <f>J9-F9</f>
        <v>0</v>
      </c>
      <c r="L9" s="8">
        <f>IF(F9="","NEW",K9/F9)</f>
        <v>0</v>
      </c>
      <c r="M9" s="126"/>
    </row>
    <row r="10" spans="1:13" ht="15" customHeight="1" x14ac:dyDescent="0.35">
      <c r="A10" s="71">
        <v>4</v>
      </c>
      <c r="B10" s="70" t="s">
        <v>676</v>
      </c>
      <c r="C10" s="16" t="s">
        <v>19</v>
      </c>
      <c r="D10" s="124">
        <v>70</v>
      </c>
      <c r="E10" s="124"/>
      <c r="F10" s="124">
        <f>SUM(D10+E10)</f>
        <v>70</v>
      </c>
      <c r="G10" s="124"/>
      <c r="H10" s="124">
        <v>70</v>
      </c>
      <c r="I10" s="124"/>
      <c r="J10" s="124">
        <f>SUM(H10+I10)</f>
        <v>70</v>
      </c>
      <c r="K10" s="124">
        <f>J10-F10</f>
        <v>0</v>
      </c>
      <c r="L10" s="8">
        <f>IF(F10="","NEW",K10/F10)</f>
        <v>0</v>
      </c>
      <c r="M10" s="126"/>
    </row>
    <row r="11" spans="1:13" ht="15" customHeight="1" x14ac:dyDescent="0.35">
      <c r="A11" s="71">
        <v>5</v>
      </c>
      <c r="B11" s="70" t="s">
        <v>677</v>
      </c>
      <c r="C11" s="16" t="s">
        <v>19</v>
      </c>
      <c r="D11" s="124">
        <v>70</v>
      </c>
      <c r="E11" s="15"/>
      <c r="F11" s="124">
        <f>SUM(D11+E11)</f>
        <v>70</v>
      </c>
      <c r="G11" s="124"/>
      <c r="H11" s="124">
        <v>70</v>
      </c>
      <c r="I11" s="15"/>
      <c r="J11" s="124">
        <f>SUM(H11+I11)</f>
        <v>70</v>
      </c>
      <c r="K11" s="124">
        <f>J11-F11</f>
        <v>0</v>
      </c>
      <c r="L11" s="8">
        <f>IF(F11="","NEW",K11/F11)</f>
        <v>0</v>
      </c>
      <c r="M11" s="126"/>
    </row>
    <row r="12" spans="1:13" ht="15" customHeight="1" x14ac:dyDescent="0.35">
      <c r="A12" s="71"/>
      <c r="B12" s="70"/>
      <c r="C12" s="16"/>
      <c r="D12" s="124"/>
      <c r="E12" s="15"/>
      <c r="F12" s="124"/>
      <c r="G12" s="124"/>
      <c r="H12" s="124"/>
      <c r="I12" s="15"/>
      <c r="J12" s="124"/>
      <c r="K12" s="124"/>
      <c r="L12" s="8"/>
      <c r="M12" s="127"/>
    </row>
    <row r="13" spans="1:13" ht="15" customHeight="1" thickBot="1" x14ac:dyDescent="0.4">
      <c r="A13" s="71"/>
      <c r="B13" s="264" t="s">
        <v>678</v>
      </c>
      <c r="C13" s="16"/>
      <c r="D13" s="124"/>
      <c r="E13" s="15"/>
      <c r="F13" s="124"/>
      <c r="G13" s="124"/>
      <c r="H13" s="124"/>
      <c r="I13" s="15"/>
      <c r="J13" s="124"/>
      <c r="K13" s="124"/>
      <c r="L13" s="8"/>
      <c r="M13" s="127"/>
    </row>
    <row r="14" spans="1:13" ht="15" customHeight="1" x14ac:dyDescent="0.35">
      <c r="A14" s="71">
        <v>6</v>
      </c>
      <c r="B14" s="70" t="s">
        <v>679</v>
      </c>
      <c r="C14" s="16" t="s">
        <v>19</v>
      </c>
      <c r="D14" s="124">
        <v>280</v>
      </c>
      <c r="E14" s="124"/>
      <c r="F14" s="124">
        <f>SUM(D14+E14)</f>
        <v>280</v>
      </c>
      <c r="G14" s="125"/>
      <c r="H14" s="124">
        <v>280</v>
      </c>
      <c r="I14" s="124"/>
      <c r="J14" s="124">
        <f>SUM(H14+I14)</f>
        <v>280</v>
      </c>
      <c r="K14" s="124">
        <f>J14-F14</f>
        <v>0</v>
      </c>
      <c r="L14" s="8">
        <f>IF(F14="","NEW",K14/F14)</f>
        <v>0</v>
      </c>
      <c r="M14" s="126"/>
    </row>
  </sheetData>
  <mergeCells count="2">
    <mergeCell ref="A1:B1"/>
    <mergeCell ref="K1:L1"/>
  </mergeCells>
  <conditionalFormatting sqref="L7:L14">
    <cfRule type="cellIs" dxfId="39" priority="7" operator="equal">
      <formula>"NEW"</formula>
    </cfRule>
  </conditionalFormatting>
  <dataValidations disablePrompts="1" count="1">
    <dataValidation type="list" allowBlank="1" showInputMessage="1" showErrorMessage="1" sqref="C7:C14" xr:uid="{6720040C-8EE7-48F0-BF3A-D5F7D14C9FDF}">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9" fitToHeight="0" orientation="landscape" r:id="rId1"/>
  <headerFooter alignWithMargins="0">
    <oddHeader>&amp;L&amp;"Arial,Bold"&amp;16&amp;A&amp;C&amp;"Arial,Bold"&amp;16FEES AND CHARGES 2024/25</oddHeader>
    <oddFooter>&amp;L&amp;"Arial,Bold"&amp;16&amp;A&amp;C&amp;"Arial,Bold"&amp;16&amp;P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3F680-F423-40D3-A197-C588CF8CE3C4}">
  <dimension ref="A1:O387"/>
  <sheetViews>
    <sheetView zoomScaleNormal="100" zoomScaleSheetLayoutView="70" workbookViewId="0">
      <selection sqref="A1:B1"/>
    </sheetView>
  </sheetViews>
  <sheetFormatPr defaultColWidth="9" defaultRowHeight="20.25" customHeight="1" x14ac:dyDescent="0.35"/>
  <cols>
    <col min="1" max="1" width="5.54296875" style="161" customWidth="1"/>
    <col min="2" max="2" width="72.7265625" style="47" customWidth="1"/>
    <col min="3" max="3" width="24.453125" style="47" customWidth="1"/>
    <col min="4" max="4" width="16" style="52" customWidth="1"/>
    <col min="5" max="5" width="10.54296875" style="52" customWidth="1"/>
    <col min="6" max="6" width="16.1796875" style="52" customWidth="1"/>
    <col min="7" max="7" width="3.453125" style="52" customWidth="1"/>
    <col min="8" max="8" width="16.453125" style="52" customWidth="1"/>
    <col min="9" max="9" width="10.54296875" style="52" customWidth="1"/>
    <col min="10" max="10" width="16.1796875" style="52" customWidth="1"/>
    <col min="11" max="11" width="12.453125" style="49" customWidth="1"/>
    <col min="12" max="12" width="11" style="50" customWidth="1"/>
    <col min="13" max="16384" width="9" style="36"/>
  </cols>
  <sheetData>
    <row r="1" spans="1:12" s="58" customFormat="1" ht="76.5" thickBot="1" x14ac:dyDescent="0.45">
      <c r="A1" s="530" t="s">
        <v>1</v>
      </c>
      <c r="B1" s="530"/>
      <c r="C1" s="26" t="s">
        <v>2</v>
      </c>
      <c r="D1" s="26" t="s">
        <v>3</v>
      </c>
      <c r="E1" s="26" t="s">
        <v>4</v>
      </c>
      <c r="F1" s="26" t="s">
        <v>5</v>
      </c>
      <c r="G1" s="26"/>
      <c r="H1" s="26" t="s">
        <v>6</v>
      </c>
      <c r="I1" s="26" t="s">
        <v>4</v>
      </c>
      <c r="J1" s="26" t="s">
        <v>7</v>
      </c>
      <c r="K1" s="529" t="s">
        <v>8</v>
      </c>
      <c r="L1" s="529"/>
    </row>
    <row r="2" spans="1:12" ht="16" thickTop="1" x14ac:dyDescent="0.35">
      <c r="A2" s="29"/>
      <c r="B2" s="129"/>
      <c r="C2" s="31"/>
      <c r="D2" s="33" t="s">
        <v>9</v>
      </c>
      <c r="E2" s="33" t="s">
        <v>9</v>
      </c>
      <c r="F2" s="33" t="s">
        <v>9</v>
      </c>
      <c r="G2" s="34"/>
      <c r="H2" s="33" t="s">
        <v>9</v>
      </c>
      <c r="I2" s="33" t="s">
        <v>9</v>
      </c>
      <c r="J2" s="33" t="s">
        <v>9</v>
      </c>
      <c r="K2" s="21" t="s">
        <v>9</v>
      </c>
      <c r="L2" s="20" t="s">
        <v>10</v>
      </c>
    </row>
    <row r="3" spans="1:12" ht="15.75" customHeight="1" thickBot="1" x14ac:dyDescent="0.4">
      <c r="A3" s="130"/>
      <c r="B3" s="261" t="s">
        <v>312</v>
      </c>
      <c r="C3" s="131"/>
      <c r="D3" s="40"/>
      <c r="E3" s="40"/>
      <c r="F3" s="40"/>
      <c r="G3" s="40"/>
      <c r="H3" s="40"/>
      <c r="I3" s="40"/>
      <c r="J3" s="40"/>
      <c r="K3" s="40"/>
      <c r="L3" s="8"/>
    </row>
    <row r="4" spans="1:12" ht="45.65" customHeight="1" thickTop="1" thickBot="1" x14ac:dyDescent="0.4">
      <c r="A4" s="130"/>
      <c r="B4" s="262" t="s">
        <v>1526</v>
      </c>
      <c r="C4" s="131"/>
      <c r="D4" s="40"/>
      <c r="E4" s="40"/>
      <c r="F4" s="40"/>
      <c r="G4" s="40"/>
      <c r="H4" s="40"/>
      <c r="I4" s="40"/>
      <c r="J4" s="40"/>
      <c r="K4" s="40"/>
      <c r="L4" s="8"/>
    </row>
    <row r="5" spans="1:12" ht="15.5" x14ac:dyDescent="0.35">
      <c r="A5" s="37">
        <v>1</v>
      </c>
      <c r="B5" s="132" t="s">
        <v>313</v>
      </c>
      <c r="C5" s="16"/>
      <c r="D5" s="40"/>
      <c r="E5" s="40"/>
      <c r="F5" s="40"/>
      <c r="G5" s="40"/>
      <c r="H5" s="40"/>
      <c r="I5" s="40"/>
      <c r="J5" s="40"/>
      <c r="K5" s="9"/>
      <c r="L5" s="8"/>
    </row>
    <row r="6" spans="1:12" ht="15.75" customHeight="1" x14ac:dyDescent="0.35">
      <c r="A6" s="37">
        <f t="shared" ref="A6:A18" si="0">+A5+1</f>
        <v>2</v>
      </c>
      <c r="B6" s="133" t="s">
        <v>314</v>
      </c>
      <c r="C6" s="16"/>
      <c r="D6" s="40"/>
      <c r="E6" s="40"/>
      <c r="F6" s="40"/>
      <c r="G6" s="40"/>
      <c r="H6" s="40"/>
      <c r="I6" s="40"/>
      <c r="J6" s="40"/>
      <c r="K6" s="9"/>
      <c r="L6" s="8"/>
    </row>
    <row r="7" spans="1:12" ht="15.75" customHeight="1" x14ac:dyDescent="0.35">
      <c r="A7" s="37">
        <f t="shared" si="0"/>
        <v>3</v>
      </c>
      <c r="B7" s="133" t="s">
        <v>315</v>
      </c>
      <c r="C7" s="16"/>
      <c r="D7" s="40"/>
      <c r="E7" s="40"/>
      <c r="F7" s="40"/>
      <c r="G7" s="40"/>
      <c r="H7" s="40"/>
      <c r="I7" s="40"/>
      <c r="J7" s="40"/>
      <c r="K7" s="9"/>
      <c r="L7" s="8"/>
    </row>
    <row r="8" spans="1:12" ht="15.75" customHeight="1" x14ac:dyDescent="0.35">
      <c r="A8" s="37">
        <f t="shared" si="0"/>
        <v>4</v>
      </c>
      <c r="B8" s="133" t="s">
        <v>316</v>
      </c>
      <c r="C8" s="16"/>
      <c r="D8" s="40"/>
      <c r="E8" s="40"/>
      <c r="F8" s="40"/>
      <c r="G8" s="40"/>
      <c r="H8" s="40"/>
      <c r="I8" s="40"/>
      <c r="J8" s="40"/>
      <c r="K8" s="9"/>
      <c r="L8" s="8"/>
    </row>
    <row r="9" spans="1:12" ht="15.5" x14ac:dyDescent="0.35">
      <c r="A9" s="37">
        <f t="shared" si="0"/>
        <v>5</v>
      </c>
      <c r="B9" s="133" t="s">
        <v>317</v>
      </c>
      <c r="C9" s="16"/>
      <c r="D9" s="40"/>
      <c r="E9" s="40"/>
      <c r="F9" s="40"/>
      <c r="G9" s="40"/>
      <c r="H9" s="40"/>
      <c r="I9" s="40"/>
      <c r="J9" s="40"/>
      <c r="K9" s="9"/>
      <c r="L9" s="8"/>
    </row>
    <row r="10" spans="1:12" ht="15.5" x14ac:dyDescent="0.35">
      <c r="A10" s="37">
        <f t="shared" si="0"/>
        <v>6</v>
      </c>
      <c r="B10" s="133" t="s">
        <v>318</v>
      </c>
      <c r="C10" s="16"/>
      <c r="D10" s="40"/>
      <c r="E10" s="40"/>
      <c r="F10" s="40"/>
      <c r="G10" s="40"/>
      <c r="H10" s="40"/>
      <c r="I10" s="40"/>
      <c r="J10" s="40"/>
      <c r="K10" s="9"/>
      <c r="L10" s="8"/>
    </row>
    <row r="11" spans="1:12" ht="15.5" x14ac:dyDescent="0.35">
      <c r="A11" s="37">
        <f t="shared" si="0"/>
        <v>7</v>
      </c>
      <c r="B11" s="133" t="s">
        <v>319</v>
      </c>
      <c r="C11" s="16"/>
      <c r="D11" s="40"/>
      <c r="E11" s="40"/>
      <c r="F11" s="40"/>
      <c r="G11" s="40"/>
      <c r="H11" s="40"/>
      <c r="I11" s="40"/>
      <c r="J11" s="40"/>
      <c r="K11" s="9"/>
      <c r="L11" s="8"/>
    </row>
    <row r="12" spans="1:12" ht="15.5" x14ac:dyDescent="0.35">
      <c r="A12" s="37">
        <f t="shared" si="0"/>
        <v>8</v>
      </c>
      <c r="B12" s="133" t="s">
        <v>320</v>
      </c>
      <c r="C12" s="16"/>
      <c r="D12" s="40"/>
      <c r="E12" s="40"/>
      <c r="F12" s="40"/>
      <c r="G12" s="40"/>
      <c r="H12" s="40"/>
      <c r="I12" s="40"/>
      <c r="J12" s="40"/>
      <c r="K12" s="9"/>
      <c r="L12" s="8"/>
    </row>
    <row r="13" spans="1:12" ht="15.5" x14ac:dyDescent="0.35">
      <c r="A13" s="37">
        <f t="shared" si="0"/>
        <v>9</v>
      </c>
      <c r="B13" s="133" t="s">
        <v>321</v>
      </c>
      <c r="C13" s="16"/>
      <c r="D13" s="40"/>
      <c r="E13" s="40"/>
      <c r="F13" s="40"/>
      <c r="G13" s="40"/>
      <c r="H13" s="40"/>
      <c r="I13" s="40"/>
      <c r="J13" s="40"/>
      <c r="K13" s="9"/>
      <c r="L13" s="8"/>
    </row>
    <row r="14" spans="1:12" ht="15.5" x14ac:dyDescent="0.35">
      <c r="A14" s="37">
        <f t="shared" si="0"/>
        <v>10</v>
      </c>
      <c r="B14" s="133" t="s">
        <v>322</v>
      </c>
      <c r="C14" s="16"/>
      <c r="D14" s="40"/>
      <c r="E14" s="40"/>
      <c r="F14" s="40"/>
      <c r="G14" s="40"/>
      <c r="H14" s="40"/>
      <c r="I14" s="40"/>
      <c r="J14" s="40"/>
      <c r="K14" s="9"/>
      <c r="L14" s="8"/>
    </row>
    <row r="15" spans="1:12" ht="15.5" x14ac:dyDescent="0.35">
      <c r="A15" s="37">
        <f t="shared" si="0"/>
        <v>11</v>
      </c>
      <c r="B15" s="133" t="s">
        <v>323</v>
      </c>
      <c r="C15" s="16"/>
      <c r="D15" s="40"/>
      <c r="E15" s="40"/>
      <c r="F15" s="40"/>
      <c r="G15" s="40"/>
      <c r="H15" s="40"/>
      <c r="I15" s="40"/>
      <c r="J15" s="40"/>
      <c r="K15" s="9"/>
      <c r="L15" s="8"/>
    </row>
    <row r="16" spans="1:12" ht="15.5" x14ac:dyDescent="0.35">
      <c r="A16" s="37">
        <f t="shared" si="0"/>
        <v>12</v>
      </c>
      <c r="B16" s="133" t="s">
        <v>324</v>
      </c>
      <c r="C16" s="16"/>
      <c r="D16" s="40"/>
      <c r="E16" s="40"/>
      <c r="F16" s="40"/>
      <c r="G16" s="40"/>
      <c r="H16" s="40"/>
      <c r="I16" s="40"/>
      <c r="J16" s="40"/>
      <c r="K16" s="9"/>
      <c r="L16" s="8"/>
    </row>
    <row r="17" spans="1:12" ht="15.5" x14ac:dyDescent="0.35">
      <c r="A17" s="37">
        <f t="shared" si="0"/>
        <v>13</v>
      </c>
      <c r="B17" s="133" t="s">
        <v>325</v>
      </c>
      <c r="C17" s="16"/>
      <c r="D17" s="40"/>
      <c r="E17" s="40"/>
      <c r="F17" s="40"/>
      <c r="G17" s="40"/>
      <c r="H17" s="40"/>
      <c r="I17" s="40"/>
      <c r="J17" s="40"/>
      <c r="K17" s="9"/>
      <c r="L17" s="8"/>
    </row>
    <row r="18" spans="1:12" ht="15.5" x14ac:dyDescent="0.35">
      <c r="A18" s="37">
        <f t="shared" si="0"/>
        <v>14</v>
      </c>
      <c r="B18" s="133" t="s">
        <v>326</v>
      </c>
      <c r="C18" s="16"/>
      <c r="D18" s="40"/>
      <c r="E18" s="40"/>
      <c r="F18" s="40"/>
      <c r="G18" s="40"/>
      <c r="H18" s="40"/>
      <c r="I18" s="40"/>
      <c r="J18" s="40"/>
      <c r="K18" s="9"/>
      <c r="L18" s="8"/>
    </row>
    <row r="19" spans="1:12" ht="15.5" x14ac:dyDescent="0.35">
      <c r="A19" s="37"/>
      <c r="B19" s="133"/>
      <c r="C19" s="16"/>
      <c r="D19" s="40"/>
      <c r="E19" s="40"/>
      <c r="F19" s="40"/>
      <c r="G19" s="40"/>
      <c r="H19" s="40"/>
      <c r="I19" s="40"/>
      <c r="J19" s="40"/>
      <c r="K19" s="9"/>
      <c r="L19" s="8"/>
    </row>
    <row r="20" spans="1:12" ht="15.75" customHeight="1" thickBot="1" x14ac:dyDescent="0.4">
      <c r="A20" s="37"/>
      <c r="B20" s="270" t="s">
        <v>327</v>
      </c>
      <c r="C20" s="16"/>
      <c r="D20" s="40"/>
      <c r="E20" s="40"/>
      <c r="F20" s="40"/>
      <c r="G20" s="40"/>
      <c r="H20" s="40"/>
      <c r="I20" s="40"/>
      <c r="J20" s="40"/>
      <c r="K20" s="9"/>
      <c r="L20" s="8"/>
    </row>
    <row r="21" spans="1:12" ht="16" thickTop="1" x14ac:dyDescent="0.35">
      <c r="A21" s="37">
        <f>A18+1</f>
        <v>15</v>
      </c>
      <c r="B21" s="133" t="s">
        <v>328</v>
      </c>
      <c r="C21" s="16" t="s">
        <v>12</v>
      </c>
      <c r="D21" s="331">
        <v>152</v>
      </c>
      <c r="E21" s="40"/>
      <c r="F21" s="40">
        <f t="shared" ref="F21" si="1">SUM(D21+E21)</f>
        <v>152</v>
      </c>
      <c r="G21" s="40"/>
      <c r="H21" s="331">
        <f>MROUND((D21*(1+Sheet1!$C$3)),0.1)</f>
        <v>156.20000000000002</v>
      </c>
      <c r="I21" s="40"/>
      <c r="J21" s="40">
        <f t="shared" ref="J21" si="2">SUM(H21+I21)</f>
        <v>156.20000000000002</v>
      </c>
      <c r="K21" s="9">
        <f t="shared" ref="K21" si="3">J21-F21</f>
        <v>4.2000000000000171</v>
      </c>
      <c r="L21" s="8">
        <f t="shared" ref="L21" si="4">IF(F21="","NEW",K21/F21)</f>
        <v>2.7631578947368535E-2</v>
      </c>
    </row>
    <row r="22" spans="1:12" ht="16.5" customHeight="1" x14ac:dyDescent="0.35">
      <c r="A22" s="37"/>
      <c r="B22" s="133" t="s">
        <v>329</v>
      </c>
      <c r="C22" s="16"/>
      <c r="D22" s="331"/>
      <c r="E22" s="40"/>
      <c r="F22" s="40"/>
      <c r="G22" s="40"/>
      <c r="H22" s="331"/>
      <c r="I22" s="40"/>
      <c r="J22" s="40"/>
      <c r="K22" s="9"/>
      <c r="L22" s="8"/>
    </row>
    <row r="23" spans="1:12" ht="15.5" x14ac:dyDescent="0.35">
      <c r="A23" s="37"/>
      <c r="B23" s="133"/>
      <c r="C23" s="16"/>
      <c r="D23" s="331"/>
      <c r="E23" s="40"/>
      <c r="F23" s="40"/>
      <c r="G23" s="40"/>
      <c r="H23" s="331"/>
      <c r="I23" s="40"/>
      <c r="J23" s="40"/>
      <c r="K23" s="9"/>
      <c r="L23" s="8"/>
    </row>
    <row r="24" spans="1:12" ht="15.75" customHeight="1" thickBot="1" x14ac:dyDescent="0.4">
      <c r="A24" s="37"/>
      <c r="B24" s="271" t="s">
        <v>330</v>
      </c>
      <c r="C24" s="16"/>
      <c r="D24" s="331"/>
      <c r="E24" s="40"/>
      <c r="F24" s="40"/>
      <c r="G24" s="40"/>
      <c r="H24" s="331"/>
      <c r="I24" s="40"/>
      <c r="J24" s="40"/>
      <c r="K24" s="9"/>
      <c r="L24" s="8"/>
    </row>
    <row r="25" spans="1:12" ht="15.5" x14ac:dyDescent="0.35">
      <c r="A25" s="37">
        <f>A21+1</f>
        <v>16</v>
      </c>
      <c r="B25" s="133" t="s">
        <v>331</v>
      </c>
      <c r="C25" s="16" t="s">
        <v>12</v>
      </c>
      <c r="D25" s="331">
        <v>40</v>
      </c>
      <c r="E25" s="40"/>
      <c r="F25" s="40">
        <f t="shared" ref="F25:F35" si="5">SUM(D25+E25)</f>
        <v>40</v>
      </c>
      <c r="G25" s="40"/>
      <c r="H25" s="331">
        <f>MROUND((D25*(1+Sheet1!$C$3)),0.1)</f>
        <v>41.1</v>
      </c>
      <c r="I25" s="40"/>
      <c r="J25" s="40">
        <f t="shared" ref="J25:J35" si="6">SUM(H25+I25)</f>
        <v>41.1</v>
      </c>
      <c r="K25" s="9">
        <f t="shared" ref="K25:K35" si="7">J25-F25</f>
        <v>1.1000000000000014</v>
      </c>
      <c r="L25" s="8">
        <f t="shared" ref="L25:L35" si="8">IF(F25="","NEW",K25/F25)</f>
        <v>2.7500000000000035E-2</v>
      </c>
    </row>
    <row r="26" spans="1:12" ht="15.5" x14ac:dyDescent="0.35">
      <c r="A26" s="37">
        <f>A25+1</f>
        <v>17</v>
      </c>
      <c r="B26" s="133" t="s">
        <v>332</v>
      </c>
      <c r="C26" s="16" t="s">
        <v>12</v>
      </c>
      <c r="D26" s="331">
        <v>6.3000000000000007</v>
      </c>
      <c r="E26" s="40"/>
      <c r="F26" s="40">
        <f t="shared" si="5"/>
        <v>6.3000000000000007</v>
      </c>
      <c r="G26" s="134"/>
      <c r="H26" s="331">
        <f>MROUND((D26*(1+Sheet1!$C$3)),0.1)</f>
        <v>6.5</v>
      </c>
      <c r="I26" s="40"/>
      <c r="J26" s="40">
        <f t="shared" si="6"/>
        <v>6.5</v>
      </c>
      <c r="K26" s="9">
        <f t="shared" si="7"/>
        <v>0.19999999999999929</v>
      </c>
      <c r="L26" s="8">
        <f t="shared" si="8"/>
        <v>3.1746031746031626E-2</v>
      </c>
    </row>
    <row r="27" spans="1:12" ht="15.5" x14ac:dyDescent="0.35">
      <c r="A27" s="37">
        <f t="shared" ref="A27:A37" si="9">A26+1</f>
        <v>18</v>
      </c>
      <c r="B27" s="133" t="s">
        <v>333</v>
      </c>
      <c r="C27" s="16" t="s">
        <v>12</v>
      </c>
      <c r="D27" s="331">
        <v>5.7</v>
      </c>
      <c r="E27" s="40"/>
      <c r="F27" s="40">
        <f t="shared" si="5"/>
        <v>5.7</v>
      </c>
      <c r="G27" s="134"/>
      <c r="H27" s="331">
        <f>MROUND((D27*(1+Sheet1!$C$3)),0.1)</f>
        <v>5.9</v>
      </c>
      <c r="I27" s="40"/>
      <c r="J27" s="40">
        <f t="shared" si="6"/>
        <v>5.9</v>
      </c>
      <c r="K27" s="9">
        <f t="shared" si="7"/>
        <v>0.20000000000000018</v>
      </c>
      <c r="L27" s="8">
        <f t="shared" si="8"/>
        <v>3.5087719298245647E-2</v>
      </c>
    </row>
    <row r="28" spans="1:12" ht="15.5" x14ac:dyDescent="0.35">
      <c r="A28" s="37">
        <f t="shared" si="9"/>
        <v>19</v>
      </c>
      <c r="B28" s="133" t="s">
        <v>334</v>
      </c>
      <c r="C28" s="16" t="s">
        <v>12</v>
      </c>
      <c r="D28" s="331">
        <v>3.4000000000000004</v>
      </c>
      <c r="E28" s="40"/>
      <c r="F28" s="40">
        <f t="shared" si="5"/>
        <v>3.4000000000000004</v>
      </c>
      <c r="G28" s="134"/>
      <c r="H28" s="331">
        <f>MROUND((D28*(1+Sheet1!$C$3)),0.1)</f>
        <v>3.5</v>
      </c>
      <c r="I28" s="40"/>
      <c r="J28" s="40">
        <f t="shared" si="6"/>
        <v>3.5</v>
      </c>
      <c r="K28" s="9">
        <f t="shared" si="7"/>
        <v>9.9999999999999645E-2</v>
      </c>
      <c r="L28" s="8">
        <f t="shared" si="8"/>
        <v>2.9411764705882245E-2</v>
      </c>
    </row>
    <row r="29" spans="1:12" ht="15.5" x14ac:dyDescent="0.35">
      <c r="A29" s="37">
        <f t="shared" si="9"/>
        <v>20</v>
      </c>
      <c r="B29" s="133" t="s">
        <v>335</v>
      </c>
      <c r="C29" s="16" t="s">
        <v>12</v>
      </c>
      <c r="D29" s="331">
        <v>1.7000000000000002</v>
      </c>
      <c r="E29" s="40"/>
      <c r="F29" s="40">
        <f t="shared" si="5"/>
        <v>1.7000000000000002</v>
      </c>
      <c r="G29" s="134"/>
      <c r="H29" s="331">
        <f>MROUND((D29*(1+Sheet1!$C$3)),0.1)</f>
        <v>1.7000000000000002</v>
      </c>
      <c r="I29" s="40"/>
      <c r="J29" s="40">
        <f t="shared" si="6"/>
        <v>1.7000000000000002</v>
      </c>
      <c r="K29" s="9">
        <f t="shared" si="7"/>
        <v>0</v>
      </c>
      <c r="L29" s="8">
        <f t="shared" si="8"/>
        <v>0</v>
      </c>
    </row>
    <row r="30" spans="1:12" ht="15.5" x14ac:dyDescent="0.35">
      <c r="A30" s="37">
        <f t="shared" si="9"/>
        <v>21</v>
      </c>
      <c r="B30" s="133" t="s">
        <v>336</v>
      </c>
      <c r="C30" s="16" t="s">
        <v>12</v>
      </c>
      <c r="D30" s="331">
        <v>1.7000000000000002</v>
      </c>
      <c r="E30" s="40"/>
      <c r="F30" s="40">
        <f t="shared" si="5"/>
        <v>1.7000000000000002</v>
      </c>
      <c r="G30" s="134"/>
      <c r="H30" s="331">
        <f>MROUND((D30*(1+Sheet1!$C$3)),0.1)</f>
        <v>1.7000000000000002</v>
      </c>
      <c r="I30" s="40"/>
      <c r="J30" s="40">
        <f t="shared" si="6"/>
        <v>1.7000000000000002</v>
      </c>
      <c r="K30" s="9">
        <f t="shared" si="7"/>
        <v>0</v>
      </c>
      <c r="L30" s="8">
        <f t="shared" si="8"/>
        <v>0</v>
      </c>
    </row>
    <row r="31" spans="1:12" ht="15.5" x14ac:dyDescent="0.35">
      <c r="A31" s="37">
        <f t="shared" si="9"/>
        <v>22</v>
      </c>
      <c r="B31" s="133" t="s">
        <v>337</v>
      </c>
      <c r="C31" s="16" t="s">
        <v>12</v>
      </c>
      <c r="D31" s="331">
        <v>1.1000000000000001</v>
      </c>
      <c r="E31" s="40"/>
      <c r="F31" s="40">
        <f t="shared" si="5"/>
        <v>1.1000000000000001</v>
      </c>
      <c r="G31" s="134"/>
      <c r="H31" s="331">
        <f>MROUND((D31*(1+Sheet1!$C$3)),0.1)</f>
        <v>1.1000000000000001</v>
      </c>
      <c r="I31" s="40"/>
      <c r="J31" s="40">
        <f t="shared" si="6"/>
        <v>1.1000000000000001</v>
      </c>
      <c r="K31" s="9">
        <f t="shared" si="7"/>
        <v>0</v>
      </c>
      <c r="L31" s="8">
        <f t="shared" si="8"/>
        <v>0</v>
      </c>
    </row>
    <row r="32" spans="1:12" ht="15.5" x14ac:dyDescent="0.35">
      <c r="A32" s="37">
        <f t="shared" si="9"/>
        <v>23</v>
      </c>
      <c r="B32" s="133" t="s">
        <v>338</v>
      </c>
      <c r="C32" s="16" t="s">
        <v>12</v>
      </c>
      <c r="D32" s="331">
        <v>12</v>
      </c>
      <c r="E32" s="40"/>
      <c r="F32" s="40">
        <f t="shared" si="5"/>
        <v>12</v>
      </c>
      <c r="G32" s="134"/>
      <c r="H32" s="331">
        <f>MROUND((D32*(1+Sheet1!$C$3)),0.1)</f>
        <v>12.3</v>
      </c>
      <c r="I32" s="40"/>
      <c r="J32" s="40">
        <f t="shared" si="6"/>
        <v>12.3</v>
      </c>
      <c r="K32" s="9">
        <f t="shared" si="7"/>
        <v>0.30000000000000071</v>
      </c>
      <c r="L32" s="8">
        <f t="shared" si="8"/>
        <v>2.500000000000006E-2</v>
      </c>
    </row>
    <row r="33" spans="1:12" ht="15.5" x14ac:dyDescent="0.35">
      <c r="A33" s="37">
        <f t="shared" si="9"/>
        <v>24</v>
      </c>
      <c r="B33" s="133" t="s">
        <v>339</v>
      </c>
      <c r="C33" s="16" t="s">
        <v>12</v>
      </c>
      <c r="D33" s="331">
        <v>10.700000000000001</v>
      </c>
      <c r="E33" s="40"/>
      <c r="F33" s="40">
        <f t="shared" si="5"/>
        <v>10.700000000000001</v>
      </c>
      <c r="G33" s="134"/>
      <c r="H33" s="331">
        <f>MROUND((D33*(1+Sheet1!$C$3)),0.1)</f>
        <v>11</v>
      </c>
      <c r="I33" s="40"/>
      <c r="J33" s="40">
        <f t="shared" si="6"/>
        <v>11</v>
      </c>
      <c r="K33" s="9">
        <f t="shared" si="7"/>
        <v>0.29999999999999893</v>
      </c>
      <c r="L33" s="8">
        <f t="shared" si="8"/>
        <v>2.8037383177569992E-2</v>
      </c>
    </row>
    <row r="34" spans="1:12" ht="15.5" x14ac:dyDescent="0.35">
      <c r="A34" s="37">
        <f t="shared" si="9"/>
        <v>25</v>
      </c>
      <c r="B34" s="133" t="s">
        <v>340</v>
      </c>
      <c r="C34" s="16" t="s">
        <v>12</v>
      </c>
      <c r="D34" s="331">
        <v>6.1000000000000005</v>
      </c>
      <c r="E34" s="40"/>
      <c r="F34" s="40">
        <f t="shared" si="5"/>
        <v>6.1000000000000005</v>
      </c>
      <c r="G34" s="134"/>
      <c r="H34" s="331">
        <f>MROUND((D34*(1+Sheet1!$C$3)),0.1)</f>
        <v>6.3000000000000007</v>
      </c>
      <c r="I34" s="40"/>
      <c r="J34" s="40">
        <f t="shared" si="6"/>
        <v>6.3000000000000007</v>
      </c>
      <c r="K34" s="9">
        <f t="shared" si="7"/>
        <v>0.20000000000000018</v>
      </c>
      <c r="L34" s="8">
        <f t="shared" si="8"/>
        <v>3.2786885245901669E-2</v>
      </c>
    </row>
    <row r="35" spans="1:12" ht="15.5" x14ac:dyDescent="0.35">
      <c r="A35" s="37">
        <f t="shared" si="9"/>
        <v>26</v>
      </c>
      <c r="B35" s="133" t="s">
        <v>341</v>
      </c>
      <c r="C35" s="16" t="s">
        <v>12</v>
      </c>
      <c r="D35" s="331">
        <v>26</v>
      </c>
      <c r="E35" s="40"/>
      <c r="F35" s="40">
        <f t="shared" si="5"/>
        <v>26</v>
      </c>
      <c r="G35" s="134"/>
      <c r="H35" s="331">
        <f>MROUND((D35*(1+Sheet1!$C$3)),0.1)+3.3</f>
        <v>30.000000000000004</v>
      </c>
      <c r="I35" s="40"/>
      <c r="J35" s="40">
        <f t="shared" si="6"/>
        <v>30.000000000000004</v>
      </c>
      <c r="K35" s="9">
        <f t="shared" si="7"/>
        <v>4.0000000000000036</v>
      </c>
      <c r="L35" s="8">
        <f t="shared" si="8"/>
        <v>0.15384615384615399</v>
      </c>
    </row>
    <row r="36" spans="1:12" ht="15.5" x14ac:dyDescent="0.35">
      <c r="A36" s="37">
        <f t="shared" si="9"/>
        <v>27</v>
      </c>
      <c r="B36" s="133" t="s">
        <v>342</v>
      </c>
      <c r="C36" s="16" t="s">
        <v>12</v>
      </c>
      <c r="D36" s="331"/>
      <c r="E36" s="40"/>
      <c r="F36" s="40"/>
      <c r="G36" s="40"/>
      <c r="H36" s="331"/>
      <c r="I36" s="40"/>
      <c r="J36" s="40"/>
      <c r="K36" s="9"/>
      <c r="L36" s="8"/>
    </row>
    <row r="37" spans="1:12" ht="15.5" x14ac:dyDescent="0.35">
      <c r="A37" s="37">
        <f t="shared" si="9"/>
        <v>28</v>
      </c>
      <c r="B37" s="133" t="s">
        <v>343</v>
      </c>
      <c r="C37" s="16" t="s">
        <v>12</v>
      </c>
      <c r="D37" s="331">
        <v>5.4</v>
      </c>
      <c r="E37" s="40"/>
      <c r="F37" s="40">
        <f>SUM(D37+E37)</f>
        <v>5.4</v>
      </c>
      <c r="G37" s="40"/>
      <c r="H37" s="331">
        <f>MROUND((D37*(1+Sheet1!$C$3)),0.1)</f>
        <v>5.5</v>
      </c>
      <c r="I37" s="40"/>
      <c r="J37" s="40">
        <f t="shared" ref="J37" si="10">SUM(H37+I37)</f>
        <v>5.5</v>
      </c>
      <c r="K37" s="9">
        <f>J37-F37</f>
        <v>9.9999999999999645E-2</v>
      </c>
      <c r="L37" s="8">
        <f>IF(F37="","NEW",K37/F37)</f>
        <v>1.8518518518518452E-2</v>
      </c>
    </row>
    <row r="38" spans="1:12" ht="15.5" x14ac:dyDescent="0.35">
      <c r="A38" s="37"/>
      <c r="B38" s="133"/>
      <c r="C38" s="16"/>
      <c r="D38" s="331"/>
      <c r="E38" s="40"/>
      <c r="F38" s="40"/>
      <c r="G38" s="40"/>
      <c r="H38" s="331"/>
      <c r="I38" s="40"/>
      <c r="J38" s="40"/>
      <c r="K38" s="9"/>
      <c r="L38" s="8"/>
    </row>
    <row r="39" spans="1:12" ht="18.5" thickBot="1" x14ac:dyDescent="0.45">
      <c r="A39" s="37"/>
      <c r="B39" s="272" t="s">
        <v>344</v>
      </c>
      <c r="C39" s="16"/>
      <c r="D39" s="331"/>
      <c r="E39" s="40"/>
      <c r="F39" s="40"/>
      <c r="G39" s="40"/>
      <c r="H39" s="331"/>
      <c r="I39" s="40"/>
      <c r="J39" s="40"/>
      <c r="K39" s="9"/>
      <c r="L39" s="8"/>
    </row>
    <row r="40" spans="1:12" ht="16" customHeight="1" thickTop="1" x14ac:dyDescent="0.35">
      <c r="A40" s="37">
        <f>A37+1</f>
        <v>29</v>
      </c>
      <c r="B40" s="133" t="s">
        <v>345</v>
      </c>
      <c r="C40" s="16" t="s">
        <v>12</v>
      </c>
      <c r="D40" s="331">
        <v>4400</v>
      </c>
      <c r="E40" s="40"/>
      <c r="F40" s="40">
        <f t="shared" ref="F40:F67" si="11">SUM(D40+E40)</f>
        <v>4400</v>
      </c>
      <c r="G40" s="40"/>
      <c r="H40" s="331">
        <f>MROUND((D40*(1+Sheet1!$C$3)),1)</f>
        <v>4521</v>
      </c>
      <c r="I40" s="40"/>
      <c r="J40" s="40">
        <f t="shared" ref="J40:J67" si="12">SUM(H40+I40)</f>
        <v>4521</v>
      </c>
      <c r="K40" s="9">
        <f t="shared" ref="K40:K67" si="13">J40-F40</f>
        <v>121</v>
      </c>
      <c r="L40" s="8">
        <f t="shared" ref="L40:L67" si="14">IF(F40="","NEW",K40/F40)</f>
        <v>2.75E-2</v>
      </c>
    </row>
    <row r="41" spans="1:12" ht="15.65" customHeight="1" x14ac:dyDescent="0.35">
      <c r="A41" s="37">
        <f t="shared" ref="A41:A67" si="15">+A40+1</f>
        <v>30</v>
      </c>
      <c r="B41" s="133" t="s">
        <v>346</v>
      </c>
      <c r="C41" s="16" t="s">
        <v>12</v>
      </c>
      <c r="D41" s="331">
        <v>5400</v>
      </c>
      <c r="E41" s="40"/>
      <c r="F41" s="40">
        <f t="shared" si="11"/>
        <v>5400</v>
      </c>
      <c r="G41" s="40"/>
      <c r="H41" s="331">
        <f>MROUND((D41*(1+Sheet1!$C$3)),1)</f>
        <v>5549</v>
      </c>
      <c r="I41" s="40"/>
      <c r="J41" s="40">
        <f t="shared" si="12"/>
        <v>5549</v>
      </c>
      <c r="K41" s="9">
        <f t="shared" si="13"/>
        <v>149</v>
      </c>
      <c r="L41" s="8">
        <f t="shared" si="14"/>
        <v>2.7592592592592592E-2</v>
      </c>
    </row>
    <row r="42" spans="1:12" ht="15.65" customHeight="1" x14ac:dyDescent="0.35">
      <c r="A42" s="37">
        <f t="shared" si="15"/>
        <v>31</v>
      </c>
      <c r="B42" s="133" t="s">
        <v>347</v>
      </c>
      <c r="C42" s="16" t="s">
        <v>12</v>
      </c>
      <c r="D42" s="331">
        <v>2750</v>
      </c>
      <c r="E42" s="40"/>
      <c r="F42" s="40">
        <f t="shared" si="11"/>
        <v>2750</v>
      </c>
      <c r="G42" s="40"/>
      <c r="H42" s="331">
        <f>MROUND((D42*(1+Sheet1!$C$3)),1)</f>
        <v>2826</v>
      </c>
      <c r="I42" s="40"/>
      <c r="J42" s="40">
        <f t="shared" si="12"/>
        <v>2826</v>
      </c>
      <c r="K42" s="9">
        <f t="shared" si="13"/>
        <v>76</v>
      </c>
      <c r="L42" s="8">
        <f t="shared" si="14"/>
        <v>2.7636363636363636E-2</v>
      </c>
    </row>
    <row r="43" spans="1:12" ht="15.65" customHeight="1" x14ac:dyDescent="0.35">
      <c r="A43" s="37">
        <f t="shared" si="15"/>
        <v>32</v>
      </c>
      <c r="B43" s="133" t="s">
        <v>348</v>
      </c>
      <c r="C43" s="16" t="s">
        <v>12</v>
      </c>
      <c r="D43" s="331">
        <v>3520</v>
      </c>
      <c r="E43" s="40"/>
      <c r="F43" s="40">
        <f t="shared" si="11"/>
        <v>3520</v>
      </c>
      <c r="G43" s="40"/>
      <c r="H43" s="331">
        <f>MROUND((D43*(1+Sheet1!$C$3)),1)</f>
        <v>3617</v>
      </c>
      <c r="I43" s="40"/>
      <c r="J43" s="40">
        <f t="shared" si="12"/>
        <v>3617</v>
      </c>
      <c r="K43" s="9">
        <f t="shared" si="13"/>
        <v>97</v>
      </c>
      <c r="L43" s="8">
        <f t="shared" si="14"/>
        <v>2.7556818181818182E-2</v>
      </c>
    </row>
    <row r="44" spans="1:12" ht="15.65" customHeight="1" x14ac:dyDescent="0.35">
      <c r="A44" s="37">
        <f t="shared" si="15"/>
        <v>33</v>
      </c>
      <c r="B44" s="133" t="s">
        <v>349</v>
      </c>
      <c r="C44" s="16" t="s">
        <v>12</v>
      </c>
      <c r="D44" s="331">
        <v>3630</v>
      </c>
      <c r="E44" s="40"/>
      <c r="F44" s="40">
        <f t="shared" si="11"/>
        <v>3630</v>
      </c>
      <c r="G44" s="40"/>
      <c r="H44" s="331">
        <f>MROUND((D44*(1+Sheet1!$C$3)),1)</f>
        <v>3730</v>
      </c>
      <c r="I44" s="40"/>
      <c r="J44" s="40">
        <f t="shared" si="12"/>
        <v>3730</v>
      </c>
      <c r="K44" s="9">
        <f t="shared" si="13"/>
        <v>100</v>
      </c>
      <c r="L44" s="8">
        <f t="shared" si="14"/>
        <v>2.7548209366391185E-2</v>
      </c>
    </row>
    <row r="45" spans="1:12" ht="15.65" customHeight="1" x14ac:dyDescent="0.35">
      <c r="A45" s="37">
        <f t="shared" si="15"/>
        <v>34</v>
      </c>
      <c r="B45" s="133" t="s">
        <v>350</v>
      </c>
      <c r="C45" s="16" t="s">
        <v>12</v>
      </c>
      <c r="D45" s="331">
        <v>1870</v>
      </c>
      <c r="E45" s="40"/>
      <c r="F45" s="40">
        <f t="shared" si="11"/>
        <v>1870</v>
      </c>
      <c r="G45" s="40"/>
      <c r="H45" s="331">
        <f>MROUND((D45*(1+Sheet1!$C$3)),1)</f>
        <v>1921</v>
      </c>
      <c r="I45" s="40"/>
      <c r="J45" s="40">
        <f t="shared" si="12"/>
        <v>1921</v>
      </c>
      <c r="K45" s="9">
        <f t="shared" si="13"/>
        <v>51</v>
      </c>
      <c r="L45" s="8">
        <f t="shared" si="14"/>
        <v>2.7272727272727271E-2</v>
      </c>
    </row>
    <row r="46" spans="1:12" ht="15.65" customHeight="1" x14ac:dyDescent="0.35">
      <c r="A46" s="37">
        <f t="shared" si="15"/>
        <v>35</v>
      </c>
      <c r="B46" s="133" t="s">
        <v>351</v>
      </c>
      <c r="C46" s="16" t="s">
        <v>12</v>
      </c>
      <c r="D46" s="331">
        <v>1870</v>
      </c>
      <c r="E46" s="40"/>
      <c r="F46" s="40">
        <f t="shared" si="11"/>
        <v>1870</v>
      </c>
      <c r="G46" s="40"/>
      <c r="H46" s="331">
        <f>MROUND((D46*(1+Sheet1!$C$3)),1)</f>
        <v>1921</v>
      </c>
      <c r="I46" s="40"/>
      <c r="J46" s="40">
        <f t="shared" si="12"/>
        <v>1921</v>
      </c>
      <c r="K46" s="9">
        <f t="shared" si="13"/>
        <v>51</v>
      </c>
      <c r="L46" s="8">
        <f t="shared" si="14"/>
        <v>2.7272727272727271E-2</v>
      </c>
    </row>
    <row r="47" spans="1:12" ht="15.65" customHeight="1" x14ac:dyDescent="0.35">
      <c r="A47" s="37">
        <f t="shared" si="15"/>
        <v>36</v>
      </c>
      <c r="B47" s="133" t="s">
        <v>352</v>
      </c>
      <c r="C47" s="16" t="s">
        <v>12</v>
      </c>
      <c r="D47" s="331">
        <v>1900</v>
      </c>
      <c r="E47" s="40"/>
      <c r="F47" s="40">
        <f t="shared" si="11"/>
        <v>1900</v>
      </c>
      <c r="G47" s="40"/>
      <c r="H47" s="331">
        <f>MROUND((D47*(1+Sheet1!$C$3)),1)</f>
        <v>1952</v>
      </c>
      <c r="I47" s="40"/>
      <c r="J47" s="40">
        <f t="shared" si="12"/>
        <v>1952</v>
      </c>
      <c r="K47" s="9">
        <f t="shared" si="13"/>
        <v>52</v>
      </c>
      <c r="L47" s="8">
        <f t="shared" si="14"/>
        <v>2.736842105263158E-2</v>
      </c>
    </row>
    <row r="48" spans="1:12" ht="15.65" customHeight="1" x14ac:dyDescent="0.35">
      <c r="A48" s="37">
        <f t="shared" si="15"/>
        <v>37</v>
      </c>
      <c r="B48" s="133" t="s">
        <v>353</v>
      </c>
      <c r="C48" s="16" t="s">
        <v>12</v>
      </c>
      <c r="D48" s="331">
        <v>1210</v>
      </c>
      <c r="E48" s="40"/>
      <c r="F48" s="40">
        <f t="shared" si="11"/>
        <v>1210</v>
      </c>
      <c r="G48" s="40"/>
      <c r="H48" s="331">
        <f>MROUND((D48*(1+Sheet1!$C$3)),1)</f>
        <v>1243</v>
      </c>
      <c r="I48" s="40"/>
      <c r="J48" s="40">
        <f t="shared" si="12"/>
        <v>1243</v>
      </c>
      <c r="K48" s="9">
        <f t="shared" si="13"/>
        <v>33</v>
      </c>
      <c r="L48" s="8">
        <f t="shared" si="14"/>
        <v>2.7272727272727271E-2</v>
      </c>
    </row>
    <row r="49" spans="1:12" ht="15.65" customHeight="1" x14ac:dyDescent="0.35">
      <c r="A49" s="37">
        <f t="shared" si="15"/>
        <v>38</v>
      </c>
      <c r="B49" s="133" t="s">
        <v>354</v>
      </c>
      <c r="C49" s="16" t="s">
        <v>12</v>
      </c>
      <c r="D49" s="331">
        <v>265</v>
      </c>
      <c r="E49" s="40"/>
      <c r="F49" s="40">
        <f t="shared" si="11"/>
        <v>265</v>
      </c>
      <c r="G49" s="40"/>
      <c r="H49" s="331">
        <f>MROUND((D49*(1+Sheet1!$C$3)),1)</f>
        <v>272</v>
      </c>
      <c r="I49" s="40"/>
      <c r="J49" s="40">
        <f t="shared" si="12"/>
        <v>272</v>
      </c>
      <c r="K49" s="9">
        <f t="shared" si="13"/>
        <v>7</v>
      </c>
      <c r="L49" s="8">
        <f t="shared" si="14"/>
        <v>2.6415094339622643E-2</v>
      </c>
    </row>
    <row r="50" spans="1:12" ht="15.65" customHeight="1" x14ac:dyDescent="0.35">
      <c r="A50" s="37">
        <f t="shared" si="15"/>
        <v>39</v>
      </c>
      <c r="B50" s="133" t="s">
        <v>355</v>
      </c>
      <c r="C50" s="16" t="s">
        <v>12</v>
      </c>
      <c r="D50" s="331">
        <v>270</v>
      </c>
      <c r="E50" s="40"/>
      <c r="F50" s="40">
        <f t="shared" si="11"/>
        <v>270</v>
      </c>
      <c r="G50" s="40"/>
      <c r="H50" s="331">
        <f>MROUND((D50*(1+Sheet1!$C$3)),1)</f>
        <v>277</v>
      </c>
      <c r="I50" s="40"/>
      <c r="J50" s="40">
        <f t="shared" si="12"/>
        <v>277</v>
      </c>
      <c r="K50" s="9">
        <f t="shared" si="13"/>
        <v>7</v>
      </c>
      <c r="L50" s="8">
        <f t="shared" si="14"/>
        <v>2.5925925925925925E-2</v>
      </c>
    </row>
    <row r="51" spans="1:12" ht="15.65" customHeight="1" x14ac:dyDescent="0.35">
      <c r="A51" s="37">
        <f t="shared" si="15"/>
        <v>40</v>
      </c>
      <c r="B51" s="133" t="s">
        <v>356</v>
      </c>
      <c r="C51" s="16" t="s">
        <v>12</v>
      </c>
      <c r="D51" s="331">
        <v>205</v>
      </c>
      <c r="E51" s="40"/>
      <c r="F51" s="40">
        <f t="shared" si="11"/>
        <v>205</v>
      </c>
      <c r="G51" s="40"/>
      <c r="H51" s="331">
        <f>MROUND((D51*(1+Sheet1!$C$3)),1)</f>
        <v>211</v>
      </c>
      <c r="I51" s="40"/>
      <c r="J51" s="40">
        <f t="shared" si="12"/>
        <v>211</v>
      </c>
      <c r="K51" s="9">
        <f t="shared" si="13"/>
        <v>6</v>
      </c>
      <c r="L51" s="8">
        <f t="shared" si="14"/>
        <v>2.9268292682926831E-2</v>
      </c>
    </row>
    <row r="52" spans="1:12" ht="15.65" customHeight="1" x14ac:dyDescent="0.35">
      <c r="A52" s="37">
        <f t="shared" si="15"/>
        <v>41</v>
      </c>
      <c r="B52" s="133" t="s">
        <v>357</v>
      </c>
      <c r="C52" s="16" t="s">
        <v>12</v>
      </c>
      <c r="D52" s="331">
        <v>200</v>
      </c>
      <c r="E52" s="40"/>
      <c r="F52" s="40">
        <f t="shared" si="11"/>
        <v>200</v>
      </c>
      <c r="G52" s="40"/>
      <c r="H52" s="331">
        <f>MROUND((D52*(1+Sheet1!$C$3)),1)</f>
        <v>206</v>
      </c>
      <c r="I52" s="40"/>
      <c r="J52" s="40">
        <f t="shared" si="12"/>
        <v>206</v>
      </c>
      <c r="K52" s="9">
        <f t="shared" si="13"/>
        <v>6</v>
      </c>
      <c r="L52" s="8">
        <f t="shared" si="14"/>
        <v>0.03</v>
      </c>
    </row>
    <row r="53" spans="1:12" ht="15.65" customHeight="1" x14ac:dyDescent="0.35">
      <c r="A53" s="37">
        <f t="shared" si="15"/>
        <v>42</v>
      </c>
      <c r="B53" s="133" t="s">
        <v>358</v>
      </c>
      <c r="C53" s="16" t="s">
        <v>12</v>
      </c>
      <c r="D53" s="331">
        <v>204</v>
      </c>
      <c r="E53" s="40"/>
      <c r="F53" s="40">
        <f t="shared" si="11"/>
        <v>204</v>
      </c>
      <c r="G53" s="40"/>
      <c r="H53" s="331">
        <f>MROUND((D53*(1+Sheet1!$C$3)),1)</f>
        <v>210</v>
      </c>
      <c r="I53" s="40"/>
      <c r="J53" s="40">
        <f t="shared" si="12"/>
        <v>210</v>
      </c>
      <c r="K53" s="9">
        <f t="shared" si="13"/>
        <v>6</v>
      </c>
      <c r="L53" s="8">
        <f t="shared" si="14"/>
        <v>2.9411764705882353E-2</v>
      </c>
    </row>
    <row r="54" spans="1:12" ht="15.65" customHeight="1" x14ac:dyDescent="0.35">
      <c r="A54" s="37">
        <f t="shared" si="15"/>
        <v>43</v>
      </c>
      <c r="B54" s="133" t="s">
        <v>359</v>
      </c>
      <c r="C54" s="16" t="s">
        <v>12</v>
      </c>
      <c r="D54" s="331">
        <v>138</v>
      </c>
      <c r="E54" s="40"/>
      <c r="F54" s="40">
        <f t="shared" si="11"/>
        <v>138</v>
      </c>
      <c r="G54" s="40"/>
      <c r="H54" s="331">
        <f>MROUND((D54*(1+Sheet1!$C$3)),1)</f>
        <v>142</v>
      </c>
      <c r="I54" s="40"/>
      <c r="J54" s="40">
        <f t="shared" si="12"/>
        <v>142</v>
      </c>
      <c r="K54" s="9">
        <f t="shared" si="13"/>
        <v>4</v>
      </c>
      <c r="L54" s="8">
        <f t="shared" si="14"/>
        <v>2.8985507246376812E-2</v>
      </c>
    </row>
    <row r="55" spans="1:12" ht="15.65" customHeight="1" x14ac:dyDescent="0.35">
      <c r="A55" s="37">
        <f t="shared" si="15"/>
        <v>44</v>
      </c>
      <c r="B55" s="133" t="s">
        <v>360</v>
      </c>
      <c r="C55" s="16" t="s">
        <v>12</v>
      </c>
      <c r="D55" s="331">
        <v>99</v>
      </c>
      <c r="E55" s="40"/>
      <c r="F55" s="40">
        <f t="shared" si="11"/>
        <v>99</v>
      </c>
      <c r="G55" s="40"/>
      <c r="H55" s="331">
        <f>MROUND((D55*(1+Sheet1!$C$3)),1)</f>
        <v>102</v>
      </c>
      <c r="I55" s="40"/>
      <c r="J55" s="40">
        <f t="shared" si="12"/>
        <v>102</v>
      </c>
      <c r="K55" s="9">
        <f t="shared" si="13"/>
        <v>3</v>
      </c>
      <c r="L55" s="8">
        <f t="shared" si="14"/>
        <v>3.0303030303030304E-2</v>
      </c>
    </row>
    <row r="56" spans="1:12" ht="15.65" customHeight="1" x14ac:dyDescent="0.35">
      <c r="A56" s="37">
        <f t="shared" si="15"/>
        <v>45</v>
      </c>
      <c r="B56" s="133" t="s">
        <v>361</v>
      </c>
      <c r="C56" s="16" t="s">
        <v>12</v>
      </c>
      <c r="D56" s="331">
        <v>110</v>
      </c>
      <c r="E56" s="40"/>
      <c r="F56" s="40">
        <f t="shared" si="11"/>
        <v>110</v>
      </c>
      <c r="G56" s="40"/>
      <c r="H56" s="331">
        <f>MROUND((D56*(1+Sheet1!$C$3)),1)</f>
        <v>113</v>
      </c>
      <c r="I56" s="40"/>
      <c r="J56" s="40">
        <f t="shared" si="12"/>
        <v>113</v>
      </c>
      <c r="K56" s="9">
        <f t="shared" si="13"/>
        <v>3</v>
      </c>
      <c r="L56" s="8">
        <f t="shared" si="14"/>
        <v>2.7272727272727271E-2</v>
      </c>
    </row>
    <row r="57" spans="1:12" ht="15.65" customHeight="1" x14ac:dyDescent="0.35">
      <c r="A57" s="37">
        <f t="shared" si="15"/>
        <v>46</v>
      </c>
      <c r="B57" s="133" t="s">
        <v>362</v>
      </c>
      <c r="C57" s="16" t="s">
        <v>12</v>
      </c>
      <c r="D57" s="331">
        <v>68</v>
      </c>
      <c r="E57" s="40"/>
      <c r="F57" s="40">
        <f t="shared" si="11"/>
        <v>68</v>
      </c>
      <c r="G57" s="40"/>
      <c r="H57" s="331">
        <f>MROUND((D57*(1+Sheet1!$C$3)),1)</f>
        <v>70</v>
      </c>
      <c r="I57" s="40"/>
      <c r="J57" s="40">
        <f t="shared" si="12"/>
        <v>70</v>
      </c>
      <c r="K57" s="9">
        <f t="shared" si="13"/>
        <v>2</v>
      </c>
      <c r="L57" s="8">
        <f t="shared" si="14"/>
        <v>2.9411764705882353E-2</v>
      </c>
    </row>
    <row r="58" spans="1:12" ht="15.65" customHeight="1" x14ac:dyDescent="0.35">
      <c r="A58" s="37">
        <f t="shared" si="15"/>
        <v>47</v>
      </c>
      <c r="B58" s="133" t="s">
        <v>363</v>
      </c>
      <c r="C58" s="16" t="s">
        <v>12</v>
      </c>
      <c r="D58" s="331">
        <v>264</v>
      </c>
      <c r="E58" s="40"/>
      <c r="F58" s="40">
        <f t="shared" si="11"/>
        <v>264</v>
      </c>
      <c r="G58" s="40"/>
      <c r="H58" s="331">
        <f>MROUND((D58*(1+Sheet1!$C$3)),1)</f>
        <v>271</v>
      </c>
      <c r="I58" s="40"/>
      <c r="J58" s="40">
        <f t="shared" si="12"/>
        <v>271</v>
      </c>
      <c r="K58" s="9">
        <f t="shared" si="13"/>
        <v>7</v>
      </c>
      <c r="L58" s="8">
        <f t="shared" si="14"/>
        <v>2.6515151515151516E-2</v>
      </c>
    </row>
    <row r="59" spans="1:12" ht="15.75" customHeight="1" x14ac:dyDescent="0.35">
      <c r="A59" s="37">
        <f t="shared" si="15"/>
        <v>48</v>
      </c>
      <c r="B59" s="133" t="s">
        <v>364</v>
      </c>
      <c r="C59" s="16" t="s">
        <v>12</v>
      </c>
      <c r="D59" s="331">
        <v>275</v>
      </c>
      <c r="E59" s="40"/>
      <c r="F59" s="40">
        <f t="shared" si="11"/>
        <v>275</v>
      </c>
      <c r="G59" s="40"/>
      <c r="H59" s="331">
        <f>MROUND((D59*(1+Sheet1!$C$3)),1)</f>
        <v>283</v>
      </c>
      <c r="I59" s="40"/>
      <c r="J59" s="40">
        <f t="shared" si="12"/>
        <v>283</v>
      </c>
      <c r="K59" s="9">
        <f t="shared" si="13"/>
        <v>8</v>
      </c>
      <c r="L59" s="8">
        <f t="shared" si="14"/>
        <v>2.9090909090909091E-2</v>
      </c>
    </row>
    <row r="60" spans="1:12" ht="15.65" customHeight="1" x14ac:dyDescent="0.35">
      <c r="A60" s="37">
        <f t="shared" si="15"/>
        <v>49</v>
      </c>
      <c r="B60" s="133" t="s">
        <v>365</v>
      </c>
      <c r="C60" s="16" t="s">
        <v>12</v>
      </c>
      <c r="D60" s="331">
        <v>220</v>
      </c>
      <c r="E60" s="40"/>
      <c r="F60" s="40">
        <f t="shared" si="11"/>
        <v>220</v>
      </c>
      <c r="G60" s="40"/>
      <c r="H60" s="331">
        <f>MROUND((D60*(1+Sheet1!$C$3)),1)</f>
        <v>226</v>
      </c>
      <c r="I60" s="40"/>
      <c r="J60" s="40">
        <f t="shared" si="12"/>
        <v>226</v>
      </c>
      <c r="K60" s="9">
        <f t="shared" si="13"/>
        <v>6</v>
      </c>
      <c r="L60" s="8">
        <f t="shared" si="14"/>
        <v>2.7272727272727271E-2</v>
      </c>
    </row>
    <row r="61" spans="1:12" ht="15.65" customHeight="1" x14ac:dyDescent="0.35">
      <c r="A61" s="37">
        <f t="shared" si="15"/>
        <v>50</v>
      </c>
      <c r="B61" s="133" t="s">
        <v>366</v>
      </c>
      <c r="C61" s="16" t="s">
        <v>12</v>
      </c>
      <c r="D61" s="331">
        <v>340</v>
      </c>
      <c r="E61" s="40"/>
      <c r="F61" s="40">
        <f t="shared" si="11"/>
        <v>340</v>
      </c>
      <c r="G61" s="40"/>
      <c r="H61" s="331">
        <f>MROUND((D61*(1+Sheet1!$C$3)),1)</f>
        <v>349</v>
      </c>
      <c r="I61" s="40"/>
      <c r="J61" s="40">
        <f t="shared" si="12"/>
        <v>349</v>
      </c>
      <c r="K61" s="9">
        <f t="shared" si="13"/>
        <v>9</v>
      </c>
      <c r="L61" s="8">
        <f t="shared" si="14"/>
        <v>2.6470588235294117E-2</v>
      </c>
    </row>
    <row r="62" spans="1:12" ht="14.25" customHeight="1" x14ac:dyDescent="0.35">
      <c r="A62" s="37">
        <f t="shared" si="15"/>
        <v>51</v>
      </c>
      <c r="B62" s="133" t="s">
        <v>367</v>
      </c>
      <c r="C62" s="16" t="s">
        <v>12</v>
      </c>
      <c r="D62" s="331">
        <v>210</v>
      </c>
      <c r="E62" s="40"/>
      <c r="F62" s="40">
        <f t="shared" si="11"/>
        <v>210</v>
      </c>
      <c r="G62" s="40"/>
      <c r="H62" s="331">
        <f>MROUND((D62*(1+Sheet1!$C$3)),1)</f>
        <v>216</v>
      </c>
      <c r="I62" s="40"/>
      <c r="J62" s="40">
        <f t="shared" si="12"/>
        <v>216</v>
      </c>
      <c r="K62" s="9">
        <f t="shared" si="13"/>
        <v>6</v>
      </c>
      <c r="L62" s="8">
        <f t="shared" si="14"/>
        <v>2.8571428571428571E-2</v>
      </c>
    </row>
    <row r="63" spans="1:12" ht="15.65" customHeight="1" x14ac:dyDescent="0.35">
      <c r="A63" s="37">
        <f t="shared" si="15"/>
        <v>52</v>
      </c>
      <c r="B63" s="133" t="s">
        <v>368</v>
      </c>
      <c r="C63" s="16" t="s">
        <v>12</v>
      </c>
      <c r="D63" s="331">
        <v>275</v>
      </c>
      <c r="E63" s="40"/>
      <c r="F63" s="40">
        <f t="shared" si="11"/>
        <v>275</v>
      </c>
      <c r="G63" s="40"/>
      <c r="H63" s="331">
        <f>MROUND((D63*(1+Sheet1!$C$3)),1)</f>
        <v>283</v>
      </c>
      <c r="I63" s="40"/>
      <c r="J63" s="40">
        <f t="shared" si="12"/>
        <v>283</v>
      </c>
      <c r="K63" s="9">
        <f t="shared" si="13"/>
        <v>8</v>
      </c>
      <c r="L63" s="8">
        <f t="shared" si="14"/>
        <v>2.9090909090909091E-2</v>
      </c>
    </row>
    <row r="64" spans="1:12" ht="15.65" customHeight="1" x14ac:dyDescent="0.35">
      <c r="A64" s="37">
        <f t="shared" si="15"/>
        <v>53</v>
      </c>
      <c r="B64" s="133" t="s">
        <v>369</v>
      </c>
      <c r="C64" s="16" t="s">
        <v>12</v>
      </c>
      <c r="D64" s="331">
        <v>40</v>
      </c>
      <c r="E64" s="40"/>
      <c r="F64" s="40">
        <f t="shared" si="11"/>
        <v>40</v>
      </c>
      <c r="G64" s="40"/>
      <c r="H64" s="331">
        <f>MROUND((D64*(1+Sheet1!$C$3)),1)</f>
        <v>41</v>
      </c>
      <c r="I64" s="40"/>
      <c r="J64" s="40">
        <f t="shared" si="12"/>
        <v>41</v>
      </c>
      <c r="K64" s="9">
        <f t="shared" si="13"/>
        <v>1</v>
      </c>
      <c r="L64" s="8">
        <f t="shared" si="14"/>
        <v>2.5000000000000001E-2</v>
      </c>
    </row>
    <row r="65" spans="1:12" ht="15.65" customHeight="1" x14ac:dyDescent="0.35">
      <c r="A65" s="37">
        <f t="shared" si="15"/>
        <v>54</v>
      </c>
      <c r="B65" s="133" t="s">
        <v>370</v>
      </c>
      <c r="C65" s="16" t="s">
        <v>12</v>
      </c>
      <c r="D65" s="331">
        <v>55</v>
      </c>
      <c r="E65" s="40"/>
      <c r="F65" s="40">
        <f t="shared" si="11"/>
        <v>55</v>
      </c>
      <c r="G65" s="40"/>
      <c r="H65" s="331">
        <f>MROUND((D65*(1+Sheet1!$C$3)),1)</f>
        <v>57</v>
      </c>
      <c r="I65" s="40"/>
      <c r="J65" s="40">
        <f t="shared" si="12"/>
        <v>57</v>
      </c>
      <c r="K65" s="9">
        <f t="shared" si="13"/>
        <v>2</v>
      </c>
      <c r="L65" s="8">
        <f t="shared" si="14"/>
        <v>3.6363636363636362E-2</v>
      </c>
    </row>
    <row r="66" spans="1:12" ht="15.65" customHeight="1" x14ac:dyDescent="0.35">
      <c r="A66" s="37">
        <f t="shared" si="15"/>
        <v>55</v>
      </c>
      <c r="B66" s="133" t="s">
        <v>371</v>
      </c>
      <c r="C66" s="16" t="s">
        <v>12</v>
      </c>
      <c r="D66" s="331">
        <v>46</v>
      </c>
      <c r="E66" s="40"/>
      <c r="F66" s="40">
        <f t="shared" si="11"/>
        <v>46</v>
      </c>
      <c r="G66" s="40"/>
      <c r="H66" s="331">
        <f>MROUND((D66*(1+Sheet1!$C$3)),1)</f>
        <v>47</v>
      </c>
      <c r="I66" s="40"/>
      <c r="J66" s="40">
        <f t="shared" si="12"/>
        <v>47</v>
      </c>
      <c r="K66" s="9">
        <f t="shared" si="13"/>
        <v>1</v>
      </c>
      <c r="L66" s="8">
        <f t="shared" si="14"/>
        <v>2.1739130434782608E-2</v>
      </c>
    </row>
    <row r="67" spans="1:12" ht="15.65" customHeight="1" x14ac:dyDescent="0.35">
      <c r="A67" s="37">
        <f t="shared" si="15"/>
        <v>56</v>
      </c>
      <c r="B67" s="133" t="s">
        <v>372</v>
      </c>
      <c r="C67" s="16" t="s">
        <v>12</v>
      </c>
      <c r="D67" s="331">
        <v>46</v>
      </c>
      <c r="E67" s="40"/>
      <c r="F67" s="40">
        <f t="shared" si="11"/>
        <v>46</v>
      </c>
      <c r="G67" s="40"/>
      <c r="H67" s="331">
        <f>MROUND((D67*(1+Sheet1!$C$3)),1)</f>
        <v>47</v>
      </c>
      <c r="I67" s="40"/>
      <c r="J67" s="40">
        <f t="shared" si="12"/>
        <v>47</v>
      </c>
      <c r="K67" s="9">
        <f t="shared" si="13"/>
        <v>1</v>
      </c>
      <c r="L67" s="8">
        <f t="shared" si="14"/>
        <v>2.1739130434782608E-2</v>
      </c>
    </row>
    <row r="68" spans="1:12" ht="15.5" x14ac:dyDescent="0.35">
      <c r="A68" s="37"/>
      <c r="B68" s="133"/>
      <c r="C68" s="16"/>
      <c r="D68" s="331"/>
      <c r="E68" s="40"/>
      <c r="F68" s="40"/>
      <c r="G68" s="40"/>
      <c r="H68" s="331"/>
      <c r="I68" s="40"/>
      <c r="J68" s="40"/>
      <c r="K68" s="9"/>
      <c r="L68" s="8"/>
    </row>
    <row r="69" spans="1:12" ht="18.5" thickBot="1" x14ac:dyDescent="0.45">
      <c r="A69" s="37"/>
      <c r="B69" s="272" t="s">
        <v>373</v>
      </c>
      <c r="C69" s="16"/>
      <c r="D69" s="331"/>
      <c r="E69" s="40"/>
      <c r="F69" s="40"/>
      <c r="G69" s="40"/>
      <c r="H69" s="331"/>
      <c r="I69" s="40"/>
      <c r="J69" s="40"/>
      <c r="K69" s="9"/>
      <c r="L69" s="8"/>
    </row>
    <row r="70" spans="1:12" ht="16" thickTop="1" x14ac:dyDescent="0.35">
      <c r="A70" s="37">
        <f>A67+1</f>
        <v>57</v>
      </c>
      <c r="B70" s="133" t="s">
        <v>374</v>
      </c>
      <c r="C70" s="16" t="s">
        <v>12</v>
      </c>
      <c r="D70" s="331">
        <v>24</v>
      </c>
      <c r="E70" s="40"/>
      <c r="F70" s="40">
        <f t="shared" ref="F70:F110" si="16">SUM(D70+E70)</f>
        <v>24</v>
      </c>
      <c r="G70" s="40"/>
      <c r="H70" s="331">
        <f>MROUND((D70*(1+Sheet1!$C$3)),0.5)</f>
        <v>24.5</v>
      </c>
      <c r="I70" s="40"/>
      <c r="J70" s="40">
        <f t="shared" ref="J70:J110" si="17">SUM(H70+I70)</f>
        <v>24.5</v>
      </c>
      <c r="K70" s="9">
        <f t="shared" ref="K70:K110" si="18">J70-F70</f>
        <v>0.5</v>
      </c>
      <c r="L70" s="8">
        <f t="shared" ref="L70:L110" si="19">IF(F70="","NEW",K70/F70)</f>
        <v>2.0833333333333332E-2</v>
      </c>
    </row>
    <row r="71" spans="1:12" ht="15.5" x14ac:dyDescent="0.35">
      <c r="A71" s="37">
        <f t="shared" ref="A71:A110" si="20">A70+1</f>
        <v>58</v>
      </c>
      <c r="B71" s="133" t="s">
        <v>375</v>
      </c>
      <c r="C71" s="16" t="s">
        <v>12</v>
      </c>
      <c r="D71" s="331">
        <v>23</v>
      </c>
      <c r="E71" s="40"/>
      <c r="F71" s="40">
        <f t="shared" si="16"/>
        <v>23</v>
      </c>
      <c r="G71" s="40"/>
      <c r="H71" s="331">
        <f>MROUND((D71*(1+Sheet1!$C$3)),0.5)</f>
        <v>23.5</v>
      </c>
      <c r="I71" s="40"/>
      <c r="J71" s="40">
        <f t="shared" si="17"/>
        <v>23.5</v>
      </c>
      <c r="K71" s="9">
        <f t="shared" si="18"/>
        <v>0.5</v>
      </c>
      <c r="L71" s="8">
        <f t="shared" si="19"/>
        <v>2.1739130434782608E-2</v>
      </c>
    </row>
    <row r="72" spans="1:12" ht="15.5" x14ac:dyDescent="0.35">
      <c r="A72" s="37">
        <f t="shared" si="20"/>
        <v>59</v>
      </c>
      <c r="B72" s="133" t="s">
        <v>376</v>
      </c>
      <c r="C72" s="16" t="s">
        <v>12</v>
      </c>
      <c r="D72" s="331">
        <v>20</v>
      </c>
      <c r="E72" s="40"/>
      <c r="F72" s="40">
        <f t="shared" si="16"/>
        <v>20</v>
      </c>
      <c r="G72" s="40"/>
      <c r="H72" s="331">
        <f>MROUND((D72*(1+Sheet1!$C$3)),0.5)</f>
        <v>20.5</v>
      </c>
      <c r="I72" s="40"/>
      <c r="J72" s="40">
        <f t="shared" si="17"/>
        <v>20.5</v>
      </c>
      <c r="K72" s="9">
        <f t="shared" si="18"/>
        <v>0.5</v>
      </c>
      <c r="L72" s="8">
        <f t="shared" si="19"/>
        <v>2.5000000000000001E-2</v>
      </c>
    </row>
    <row r="73" spans="1:12" ht="15.5" x14ac:dyDescent="0.35">
      <c r="A73" s="37">
        <f t="shared" si="20"/>
        <v>60</v>
      </c>
      <c r="B73" s="133" t="s">
        <v>377</v>
      </c>
      <c r="C73" s="16" t="s">
        <v>12</v>
      </c>
      <c r="D73" s="331">
        <v>13</v>
      </c>
      <c r="E73" s="40"/>
      <c r="F73" s="40">
        <f t="shared" si="16"/>
        <v>13</v>
      </c>
      <c r="G73" s="40"/>
      <c r="H73" s="331">
        <f>MROUND((D73*(1+Sheet1!$C$3)),0.5)</f>
        <v>13.5</v>
      </c>
      <c r="I73" s="40"/>
      <c r="J73" s="40">
        <f t="shared" si="17"/>
        <v>13.5</v>
      </c>
      <c r="K73" s="9">
        <f t="shared" si="18"/>
        <v>0.5</v>
      </c>
      <c r="L73" s="8">
        <f t="shared" si="19"/>
        <v>3.8461538461538464E-2</v>
      </c>
    </row>
    <row r="74" spans="1:12" ht="15.5" x14ac:dyDescent="0.35">
      <c r="A74" s="37">
        <f t="shared" si="20"/>
        <v>61</v>
      </c>
      <c r="B74" s="133" t="s">
        <v>378</v>
      </c>
      <c r="C74" s="16" t="s">
        <v>12</v>
      </c>
      <c r="D74" s="331">
        <v>30</v>
      </c>
      <c r="E74" s="40"/>
      <c r="F74" s="40">
        <f t="shared" si="16"/>
        <v>30</v>
      </c>
      <c r="G74" s="40"/>
      <c r="H74" s="331">
        <f>MROUND((D74*(1+Sheet1!$C$3)),0.5)</f>
        <v>31</v>
      </c>
      <c r="I74" s="40"/>
      <c r="J74" s="40">
        <f t="shared" si="17"/>
        <v>31</v>
      </c>
      <c r="K74" s="9">
        <f t="shared" si="18"/>
        <v>1</v>
      </c>
      <c r="L74" s="8">
        <f t="shared" si="19"/>
        <v>3.3333333333333333E-2</v>
      </c>
    </row>
    <row r="75" spans="1:12" ht="15.5" x14ac:dyDescent="0.35">
      <c r="A75" s="37">
        <f t="shared" si="20"/>
        <v>62</v>
      </c>
      <c r="B75" s="133" t="s">
        <v>379</v>
      </c>
      <c r="C75" s="16" t="s">
        <v>12</v>
      </c>
      <c r="D75" s="331">
        <v>28</v>
      </c>
      <c r="E75" s="40"/>
      <c r="F75" s="40">
        <f t="shared" si="16"/>
        <v>28</v>
      </c>
      <c r="G75" s="40"/>
      <c r="H75" s="331">
        <f>MROUND((D75*(1+Sheet1!$C$3)),0.5)</f>
        <v>29</v>
      </c>
      <c r="I75" s="40"/>
      <c r="J75" s="40">
        <f t="shared" si="17"/>
        <v>29</v>
      </c>
      <c r="K75" s="9">
        <f t="shared" si="18"/>
        <v>1</v>
      </c>
      <c r="L75" s="8">
        <f t="shared" si="19"/>
        <v>3.5714285714285712E-2</v>
      </c>
    </row>
    <row r="76" spans="1:12" ht="15.5" x14ac:dyDescent="0.35">
      <c r="A76" s="37">
        <f t="shared" si="20"/>
        <v>63</v>
      </c>
      <c r="B76" s="133" t="s">
        <v>380</v>
      </c>
      <c r="C76" s="16" t="s">
        <v>12</v>
      </c>
      <c r="D76" s="331">
        <v>25</v>
      </c>
      <c r="E76" s="40"/>
      <c r="F76" s="40">
        <f t="shared" si="16"/>
        <v>25</v>
      </c>
      <c r="G76" s="40"/>
      <c r="H76" s="331">
        <f>MROUND((D76*(1+Sheet1!$C$3)),0.5)</f>
        <v>25.5</v>
      </c>
      <c r="I76" s="40"/>
      <c r="J76" s="40">
        <f t="shared" si="17"/>
        <v>25.5</v>
      </c>
      <c r="K76" s="9">
        <f t="shared" si="18"/>
        <v>0.5</v>
      </c>
      <c r="L76" s="8">
        <f t="shared" si="19"/>
        <v>0.02</v>
      </c>
    </row>
    <row r="77" spans="1:12" ht="15.5" x14ac:dyDescent="0.35">
      <c r="A77" s="37">
        <f t="shared" si="20"/>
        <v>64</v>
      </c>
      <c r="B77" s="133" t="s">
        <v>381</v>
      </c>
      <c r="C77" s="16" t="s">
        <v>12</v>
      </c>
      <c r="D77" s="331">
        <v>15</v>
      </c>
      <c r="E77" s="40"/>
      <c r="F77" s="40">
        <f t="shared" si="16"/>
        <v>15</v>
      </c>
      <c r="G77" s="40"/>
      <c r="H77" s="331">
        <f>MROUND((D77*(1+Sheet1!$C$3)),0.5)</f>
        <v>15.5</v>
      </c>
      <c r="I77" s="40"/>
      <c r="J77" s="40">
        <f t="shared" si="17"/>
        <v>15.5</v>
      </c>
      <c r="K77" s="9">
        <f t="shared" si="18"/>
        <v>0.5</v>
      </c>
      <c r="L77" s="8">
        <f t="shared" si="19"/>
        <v>3.3333333333333333E-2</v>
      </c>
    </row>
    <row r="78" spans="1:12" ht="15.5" x14ac:dyDescent="0.35">
      <c r="A78" s="37">
        <f t="shared" si="20"/>
        <v>65</v>
      </c>
      <c r="B78" s="133" t="s">
        <v>382</v>
      </c>
      <c r="C78" s="16" t="s">
        <v>12</v>
      </c>
      <c r="D78" s="331">
        <v>20</v>
      </c>
      <c r="E78" s="40"/>
      <c r="F78" s="40">
        <f t="shared" si="16"/>
        <v>20</v>
      </c>
      <c r="G78" s="40"/>
      <c r="H78" s="331">
        <f>MROUND((D78*(1+Sheet1!$C$3)),0.5)</f>
        <v>20.5</v>
      </c>
      <c r="I78" s="40"/>
      <c r="J78" s="40">
        <f t="shared" si="17"/>
        <v>20.5</v>
      </c>
      <c r="K78" s="9">
        <f t="shared" si="18"/>
        <v>0.5</v>
      </c>
      <c r="L78" s="8">
        <f t="shared" si="19"/>
        <v>2.5000000000000001E-2</v>
      </c>
    </row>
    <row r="79" spans="1:12" ht="15.5" x14ac:dyDescent="0.35">
      <c r="A79" s="37">
        <f t="shared" si="20"/>
        <v>66</v>
      </c>
      <c r="B79" s="133" t="s">
        <v>383</v>
      </c>
      <c r="C79" s="16" t="s">
        <v>12</v>
      </c>
      <c r="D79" s="331">
        <v>13</v>
      </c>
      <c r="E79" s="40"/>
      <c r="F79" s="40">
        <f t="shared" si="16"/>
        <v>13</v>
      </c>
      <c r="G79" s="40"/>
      <c r="H79" s="331">
        <f>MROUND((D79*(1+Sheet1!$C$3)),0.5)</f>
        <v>13.5</v>
      </c>
      <c r="I79" s="40"/>
      <c r="J79" s="40">
        <f t="shared" si="17"/>
        <v>13.5</v>
      </c>
      <c r="K79" s="9">
        <f t="shared" si="18"/>
        <v>0.5</v>
      </c>
      <c r="L79" s="8">
        <f t="shared" si="19"/>
        <v>3.8461538461538464E-2</v>
      </c>
    </row>
    <row r="80" spans="1:12" ht="14.25" customHeight="1" x14ac:dyDescent="0.35">
      <c r="A80" s="37">
        <f t="shared" si="20"/>
        <v>67</v>
      </c>
      <c r="B80" s="133" t="s">
        <v>384</v>
      </c>
      <c r="C80" s="16" t="s">
        <v>12</v>
      </c>
      <c r="D80" s="331">
        <v>15</v>
      </c>
      <c r="E80" s="40"/>
      <c r="F80" s="40">
        <f t="shared" si="16"/>
        <v>15</v>
      </c>
      <c r="G80" s="40"/>
      <c r="H80" s="331">
        <f>MROUND((D80*(1+Sheet1!$C$3)),0.5)</f>
        <v>15.5</v>
      </c>
      <c r="I80" s="40"/>
      <c r="J80" s="40">
        <f t="shared" si="17"/>
        <v>15.5</v>
      </c>
      <c r="K80" s="9">
        <f t="shared" si="18"/>
        <v>0.5</v>
      </c>
      <c r="L80" s="8">
        <f t="shared" si="19"/>
        <v>3.3333333333333333E-2</v>
      </c>
    </row>
    <row r="81" spans="1:15" ht="14.25" customHeight="1" x14ac:dyDescent="0.35">
      <c r="A81" s="37">
        <f t="shared" si="20"/>
        <v>68</v>
      </c>
      <c r="B81" s="133" t="s">
        <v>385</v>
      </c>
      <c r="C81" s="16" t="s">
        <v>12</v>
      </c>
      <c r="D81" s="331">
        <v>12</v>
      </c>
      <c r="E81" s="40"/>
      <c r="F81" s="40">
        <f t="shared" si="16"/>
        <v>12</v>
      </c>
      <c r="G81" s="40"/>
      <c r="H81" s="331">
        <f>MROUND((D81*(1+Sheet1!$C$3)),0.5)</f>
        <v>12.5</v>
      </c>
      <c r="I81" s="40"/>
      <c r="J81" s="40">
        <f t="shared" si="17"/>
        <v>12.5</v>
      </c>
      <c r="K81" s="9">
        <f t="shared" si="18"/>
        <v>0.5</v>
      </c>
      <c r="L81" s="8">
        <f t="shared" si="19"/>
        <v>4.1666666666666664E-2</v>
      </c>
    </row>
    <row r="82" spans="1:15" ht="15.5" x14ac:dyDescent="0.35">
      <c r="A82" s="37">
        <f t="shared" si="20"/>
        <v>69</v>
      </c>
      <c r="B82" s="133" t="s">
        <v>386</v>
      </c>
      <c r="C82" s="16" t="s">
        <v>12</v>
      </c>
      <c r="D82" s="331">
        <v>13</v>
      </c>
      <c r="E82" s="40"/>
      <c r="F82" s="40">
        <f t="shared" si="16"/>
        <v>13</v>
      </c>
      <c r="G82" s="40"/>
      <c r="H82" s="331">
        <f>MROUND((D82*(1+Sheet1!$C$3)),0.5)</f>
        <v>13.5</v>
      </c>
      <c r="I82" s="40"/>
      <c r="J82" s="40">
        <f t="shared" si="17"/>
        <v>13.5</v>
      </c>
      <c r="K82" s="9">
        <f t="shared" si="18"/>
        <v>0.5</v>
      </c>
      <c r="L82" s="8">
        <f t="shared" si="19"/>
        <v>3.8461538461538464E-2</v>
      </c>
    </row>
    <row r="83" spans="1:15" ht="15.5" x14ac:dyDescent="0.35">
      <c r="A83" s="37">
        <f t="shared" si="20"/>
        <v>70</v>
      </c>
      <c r="B83" s="133" t="s">
        <v>387</v>
      </c>
      <c r="C83" s="16" t="s">
        <v>12</v>
      </c>
      <c r="D83" s="331">
        <v>10.5</v>
      </c>
      <c r="E83" s="40"/>
      <c r="F83" s="40">
        <f t="shared" si="16"/>
        <v>10.5</v>
      </c>
      <c r="G83" s="40"/>
      <c r="H83" s="331">
        <f>MROUND((D83*(1+Sheet1!$C$3)),0.5)</f>
        <v>11</v>
      </c>
      <c r="I83" s="40"/>
      <c r="J83" s="40">
        <f t="shared" si="17"/>
        <v>11</v>
      </c>
      <c r="K83" s="9">
        <f t="shared" si="18"/>
        <v>0.5</v>
      </c>
      <c r="L83" s="8">
        <f t="shared" si="19"/>
        <v>4.7619047619047616E-2</v>
      </c>
    </row>
    <row r="84" spans="1:15" ht="15.5" x14ac:dyDescent="0.35">
      <c r="A84" s="37">
        <f t="shared" si="20"/>
        <v>71</v>
      </c>
      <c r="B84" s="133" t="s">
        <v>388</v>
      </c>
      <c r="C84" s="16" t="s">
        <v>12</v>
      </c>
      <c r="D84" s="331">
        <v>11</v>
      </c>
      <c r="E84" s="40"/>
      <c r="F84" s="40">
        <f t="shared" si="16"/>
        <v>11</v>
      </c>
      <c r="H84" s="331">
        <f>MROUND((D84*(1+Sheet1!$C$3)),0.5)</f>
        <v>11.5</v>
      </c>
      <c r="I84" s="40"/>
      <c r="J84" s="40">
        <f t="shared" si="17"/>
        <v>11.5</v>
      </c>
      <c r="K84" s="9">
        <f t="shared" si="18"/>
        <v>0.5</v>
      </c>
      <c r="L84" s="8">
        <f t="shared" si="19"/>
        <v>4.5454545454545456E-2</v>
      </c>
    </row>
    <row r="85" spans="1:15" ht="15.5" x14ac:dyDescent="0.35">
      <c r="A85" s="37">
        <f t="shared" si="20"/>
        <v>72</v>
      </c>
      <c r="B85" s="133" t="s">
        <v>389</v>
      </c>
      <c r="C85" s="16" t="s">
        <v>12</v>
      </c>
      <c r="D85" s="331">
        <v>12</v>
      </c>
      <c r="E85" s="40"/>
      <c r="F85" s="40">
        <f t="shared" si="16"/>
        <v>12</v>
      </c>
      <c r="G85" s="40"/>
      <c r="H85" s="331">
        <f>MROUND((D85*(1+Sheet1!$C$3)),0.5)</f>
        <v>12.5</v>
      </c>
      <c r="I85" s="40"/>
      <c r="J85" s="40">
        <f t="shared" si="17"/>
        <v>12.5</v>
      </c>
      <c r="K85" s="9">
        <f t="shared" si="18"/>
        <v>0.5</v>
      </c>
      <c r="L85" s="8">
        <f t="shared" si="19"/>
        <v>4.1666666666666664E-2</v>
      </c>
    </row>
    <row r="86" spans="1:15" ht="15.5" x14ac:dyDescent="0.35">
      <c r="A86" s="37">
        <f t="shared" si="20"/>
        <v>73</v>
      </c>
      <c r="B86" s="133" t="s">
        <v>390</v>
      </c>
      <c r="C86" s="16" t="s">
        <v>12</v>
      </c>
      <c r="D86" s="331">
        <v>19</v>
      </c>
      <c r="E86" s="40"/>
      <c r="F86" s="40">
        <f t="shared" si="16"/>
        <v>19</v>
      </c>
      <c r="G86" s="40"/>
      <c r="H86" s="331">
        <f>MROUND((D86*(1+Sheet1!$C$3)),0.5)</f>
        <v>19.5</v>
      </c>
      <c r="I86" s="40"/>
      <c r="J86" s="40">
        <f t="shared" si="17"/>
        <v>19.5</v>
      </c>
      <c r="K86" s="9">
        <f t="shared" si="18"/>
        <v>0.5</v>
      </c>
      <c r="L86" s="8">
        <f t="shared" si="19"/>
        <v>2.6315789473684209E-2</v>
      </c>
    </row>
    <row r="87" spans="1:15" ht="15.5" x14ac:dyDescent="0.35">
      <c r="A87" s="37">
        <f t="shared" si="20"/>
        <v>74</v>
      </c>
      <c r="B87" s="133" t="s">
        <v>391</v>
      </c>
      <c r="C87" s="16" t="s">
        <v>12</v>
      </c>
      <c r="D87" s="331">
        <v>28</v>
      </c>
      <c r="E87" s="40"/>
      <c r="F87" s="40">
        <f t="shared" si="16"/>
        <v>28</v>
      </c>
      <c r="G87" s="40"/>
      <c r="H87" s="331">
        <f>MROUND((D87*(1+Sheet1!$C$3)),0.5)</f>
        <v>29</v>
      </c>
      <c r="I87" s="40"/>
      <c r="J87" s="40">
        <f t="shared" si="17"/>
        <v>29</v>
      </c>
      <c r="K87" s="9">
        <f t="shared" si="18"/>
        <v>1</v>
      </c>
      <c r="L87" s="8">
        <f t="shared" si="19"/>
        <v>3.5714285714285712E-2</v>
      </c>
    </row>
    <row r="88" spans="1:15" ht="15.5" x14ac:dyDescent="0.35">
      <c r="A88" s="37">
        <f t="shared" si="20"/>
        <v>75</v>
      </c>
      <c r="B88" s="133" t="s">
        <v>392</v>
      </c>
      <c r="C88" s="16" t="s">
        <v>12</v>
      </c>
      <c r="D88" s="331">
        <v>13</v>
      </c>
      <c r="E88" s="40"/>
      <c r="F88" s="40">
        <f t="shared" si="16"/>
        <v>13</v>
      </c>
      <c r="G88" s="40"/>
      <c r="H88" s="331">
        <f>MROUND((D88*(1+Sheet1!$C$3)),0.5)</f>
        <v>13.5</v>
      </c>
      <c r="I88" s="40"/>
      <c r="J88" s="40">
        <f t="shared" si="17"/>
        <v>13.5</v>
      </c>
      <c r="K88" s="9">
        <f t="shared" si="18"/>
        <v>0.5</v>
      </c>
      <c r="L88" s="8">
        <f t="shared" si="19"/>
        <v>3.8461538461538464E-2</v>
      </c>
    </row>
    <row r="89" spans="1:15" ht="15.5" x14ac:dyDescent="0.35">
      <c r="A89" s="37">
        <f t="shared" si="20"/>
        <v>76</v>
      </c>
      <c r="B89" s="133" t="s">
        <v>393</v>
      </c>
      <c r="C89" s="16" t="s">
        <v>12</v>
      </c>
      <c r="D89" s="331">
        <v>3.1</v>
      </c>
      <c r="E89" s="40"/>
      <c r="F89" s="40">
        <f t="shared" si="16"/>
        <v>3.1</v>
      </c>
      <c r="G89" s="40"/>
      <c r="H89" s="331">
        <f>MROUND((D89*(1+Sheet1!$C$3)),0.5)+0.5</f>
        <v>3.5</v>
      </c>
      <c r="I89" s="40"/>
      <c r="J89" s="40">
        <f t="shared" si="17"/>
        <v>3.5</v>
      </c>
      <c r="K89" s="9">
        <f t="shared" si="18"/>
        <v>0.39999999999999991</v>
      </c>
      <c r="L89" s="8">
        <f t="shared" si="19"/>
        <v>0.1290322580645161</v>
      </c>
    </row>
    <row r="90" spans="1:15" ht="15.5" x14ac:dyDescent="0.35">
      <c r="A90" s="37">
        <f t="shared" si="20"/>
        <v>77</v>
      </c>
      <c r="B90" s="133" t="s">
        <v>394</v>
      </c>
      <c r="C90" s="16" t="s">
        <v>12</v>
      </c>
      <c r="D90" s="331">
        <v>1.8</v>
      </c>
      <c r="E90" s="40"/>
      <c r="F90" s="40">
        <f t="shared" si="16"/>
        <v>1.8</v>
      </c>
      <c r="G90" s="40"/>
      <c r="H90" s="331">
        <f>MROUND((D90*(1+Sheet1!$C$3)),0.5)</f>
        <v>2</v>
      </c>
      <c r="I90" s="40"/>
      <c r="J90" s="40">
        <f t="shared" si="17"/>
        <v>2</v>
      </c>
      <c r="K90" s="9">
        <f t="shared" si="18"/>
        <v>0.19999999999999996</v>
      </c>
      <c r="L90" s="8">
        <f t="shared" si="19"/>
        <v>0.11111111111111108</v>
      </c>
    </row>
    <row r="91" spans="1:15" ht="15.5" x14ac:dyDescent="0.35">
      <c r="A91" s="37">
        <f t="shared" si="20"/>
        <v>78</v>
      </c>
      <c r="B91" s="133" t="s">
        <v>395</v>
      </c>
      <c r="C91" s="16" t="s">
        <v>12</v>
      </c>
      <c r="D91" s="331">
        <v>1.7000000000000002</v>
      </c>
      <c r="E91" s="40"/>
      <c r="F91" s="40">
        <f t="shared" si="16"/>
        <v>1.7000000000000002</v>
      </c>
      <c r="G91" s="40"/>
      <c r="H91" s="331">
        <f>MROUND((D91*(1+Sheet1!$C$3)),0.5)+0.5</f>
        <v>2</v>
      </c>
      <c r="I91" s="40"/>
      <c r="J91" s="40">
        <f t="shared" si="17"/>
        <v>2</v>
      </c>
      <c r="K91" s="9">
        <f t="shared" si="18"/>
        <v>0.29999999999999982</v>
      </c>
      <c r="L91" s="8">
        <f t="shared" si="19"/>
        <v>0.17647058823529399</v>
      </c>
    </row>
    <row r="92" spans="1:15" ht="15.5" x14ac:dyDescent="0.35">
      <c r="A92" s="37">
        <f t="shared" si="20"/>
        <v>79</v>
      </c>
      <c r="B92" s="133" t="s">
        <v>396</v>
      </c>
      <c r="C92" s="16" t="s">
        <v>12</v>
      </c>
      <c r="D92" s="331">
        <v>1.3</v>
      </c>
      <c r="E92" s="40"/>
      <c r="F92" s="40">
        <f t="shared" si="16"/>
        <v>1.3</v>
      </c>
      <c r="G92" s="40"/>
      <c r="H92" s="331">
        <f>MROUND((D92*(1+Sheet1!$C$3)),0.5)</f>
        <v>1.5</v>
      </c>
      <c r="I92" s="40"/>
      <c r="J92" s="40">
        <f t="shared" si="17"/>
        <v>1.5</v>
      </c>
      <c r="K92" s="9">
        <f t="shared" si="18"/>
        <v>0.19999999999999996</v>
      </c>
      <c r="L92" s="8">
        <f t="shared" si="19"/>
        <v>0.1538461538461538</v>
      </c>
    </row>
    <row r="93" spans="1:15" ht="15.5" x14ac:dyDescent="0.35">
      <c r="A93" s="37">
        <f t="shared" si="20"/>
        <v>80</v>
      </c>
      <c r="B93" s="133" t="s">
        <v>397</v>
      </c>
      <c r="C93" s="16" t="s">
        <v>12</v>
      </c>
      <c r="D93" s="331">
        <v>3.6</v>
      </c>
      <c r="E93" s="40"/>
      <c r="F93" s="40">
        <f t="shared" si="16"/>
        <v>3.6</v>
      </c>
      <c r="G93" s="40"/>
      <c r="H93" s="331">
        <f>MROUND((D93*(1+Sheet1!$C$3)),0.5)+0.5</f>
        <v>4</v>
      </c>
      <c r="I93" s="40"/>
      <c r="J93" s="40">
        <f t="shared" si="17"/>
        <v>4</v>
      </c>
      <c r="K93" s="9">
        <f t="shared" si="18"/>
        <v>0.39999999999999991</v>
      </c>
      <c r="L93" s="8">
        <f t="shared" si="19"/>
        <v>0.11111111111111108</v>
      </c>
    </row>
    <row r="94" spans="1:15" ht="15.5" x14ac:dyDescent="0.35">
      <c r="A94" s="37">
        <f t="shared" si="20"/>
        <v>81</v>
      </c>
      <c r="B94" s="133" t="s">
        <v>398</v>
      </c>
      <c r="C94" s="16" t="s">
        <v>12</v>
      </c>
      <c r="D94" s="331">
        <v>935</v>
      </c>
      <c r="E94" s="40"/>
      <c r="F94" s="40">
        <f t="shared" si="16"/>
        <v>935</v>
      </c>
      <c r="G94" s="40"/>
      <c r="H94" s="331">
        <f>MROUND((D94*(1+Sheet1!$C$3)),1)</f>
        <v>961</v>
      </c>
      <c r="I94" s="40"/>
      <c r="J94" s="40">
        <f t="shared" si="17"/>
        <v>961</v>
      </c>
      <c r="K94" s="9">
        <f t="shared" si="18"/>
        <v>26</v>
      </c>
      <c r="L94" s="8">
        <f t="shared" si="19"/>
        <v>2.7807486631016044E-2</v>
      </c>
      <c r="N94" s="332"/>
      <c r="O94" s="332"/>
    </row>
    <row r="95" spans="1:15" ht="15.5" x14ac:dyDescent="0.35">
      <c r="A95" s="37">
        <f t="shared" si="20"/>
        <v>82</v>
      </c>
      <c r="B95" s="133" t="s">
        <v>399</v>
      </c>
      <c r="C95" s="16" t="s">
        <v>12</v>
      </c>
      <c r="D95" s="331">
        <v>825</v>
      </c>
      <c r="E95" s="40"/>
      <c r="F95" s="40">
        <f t="shared" si="16"/>
        <v>825</v>
      </c>
      <c r="G95" s="40"/>
      <c r="H95" s="331">
        <f>MROUND((D95*(1+Sheet1!$C$3)),1)</f>
        <v>848</v>
      </c>
      <c r="I95" s="40"/>
      <c r="J95" s="40">
        <f t="shared" si="17"/>
        <v>848</v>
      </c>
      <c r="K95" s="9">
        <f t="shared" si="18"/>
        <v>23</v>
      </c>
      <c r="L95" s="8">
        <f t="shared" si="19"/>
        <v>2.7878787878787878E-2</v>
      </c>
      <c r="N95" s="332"/>
      <c r="O95" s="332"/>
    </row>
    <row r="96" spans="1:15" ht="15.5" x14ac:dyDescent="0.35">
      <c r="A96" s="37">
        <f>A95+1</f>
        <v>83</v>
      </c>
      <c r="B96" s="133" t="s">
        <v>400</v>
      </c>
      <c r="C96" s="16" t="s">
        <v>12</v>
      </c>
      <c r="D96" s="331">
        <v>475</v>
      </c>
      <c r="E96" s="40"/>
      <c r="F96" s="40">
        <f t="shared" si="16"/>
        <v>475</v>
      </c>
      <c r="G96" s="40"/>
      <c r="H96" s="331">
        <f>MROUND((D96*(1+Sheet1!$C$3)),1)</f>
        <v>488</v>
      </c>
      <c r="I96" s="40"/>
      <c r="J96" s="40">
        <f t="shared" si="17"/>
        <v>488</v>
      </c>
      <c r="K96" s="9">
        <f t="shared" si="18"/>
        <v>13</v>
      </c>
      <c r="L96" s="8">
        <f t="shared" si="19"/>
        <v>2.736842105263158E-2</v>
      </c>
      <c r="N96" s="332"/>
      <c r="O96" s="332"/>
    </row>
    <row r="97" spans="1:15" ht="31" x14ac:dyDescent="0.35">
      <c r="A97" s="37">
        <f t="shared" si="20"/>
        <v>84</v>
      </c>
      <c r="B97" s="133" t="s">
        <v>401</v>
      </c>
      <c r="C97" s="16" t="s">
        <v>12</v>
      </c>
      <c r="D97" s="331">
        <v>405</v>
      </c>
      <c r="E97" s="40"/>
      <c r="F97" s="40">
        <f t="shared" si="16"/>
        <v>405</v>
      </c>
      <c r="G97" s="40"/>
      <c r="H97" s="331">
        <f>MROUND((D97*(1+Sheet1!$C$3)),1)</f>
        <v>416</v>
      </c>
      <c r="I97" s="40"/>
      <c r="J97" s="40">
        <f t="shared" si="17"/>
        <v>416</v>
      </c>
      <c r="K97" s="9">
        <f t="shared" si="18"/>
        <v>11</v>
      </c>
      <c r="L97" s="8">
        <f t="shared" si="19"/>
        <v>2.7160493827160494E-2</v>
      </c>
      <c r="N97" s="332"/>
      <c r="O97" s="332"/>
    </row>
    <row r="98" spans="1:15" ht="15.5" x14ac:dyDescent="0.35">
      <c r="A98" s="136">
        <f>A97+1</f>
        <v>85</v>
      </c>
      <c r="B98" s="133" t="s">
        <v>402</v>
      </c>
      <c r="C98" s="16" t="s">
        <v>12</v>
      </c>
      <c r="D98" s="331">
        <v>640</v>
      </c>
      <c r="E98" s="40"/>
      <c r="F98" s="40">
        <f t="shared" si="16"/>
        <v>640</v>
      </c>
      <c r="G98" s="40"/>
      <c r="H98" s="331">
        <f>MROUND((D98*(1+Sheet1!$C$3)),1)</f>
        <v>658</v>
      </c>
      <c r="I98" s="40"/>
      <c r="J98" s="40">
        <f t="shared" si="17"/>
        <v>658</v>
      </c>
      <c r="K98" s="9">
        <f t="shared" si="18"/>
        <v>18</v>
      </c>
      <c r="L98" s="8">
        <f t="shared" si="19"/>
        <v>2.8125000000000001E-2</v>
      </c>
      <c r="N98" s="332"/>
      <c r="O98" s="332"/>
    </row>
    <row r="99" spans="1:15" ht="15.5" x14ac:dyDescent="0.35">
      <c r="A99" s="37">
        <f t="shared" si="20"/>
        <v>86</v>
      </c>
      <c r="B99" s="133" t="s">
        <v>403</v>
      </c>
      <c r="C99" s="16" t="s">
        <v>12</v>
      </c>
      <c r="D99" s="331">
        <v>572</v>
      </c>
      <c r="E99" s="40"/>
      <c r="F99" s="40">
        <f t="shared" si="16"/>
        <v>572</v>
      </c>
      <c r="G99" s="40"/>
      <c r="H99" s="331">
        <f>MROUND((D99*(1+Sheet1!$C$3)),1)</f>
        <v>588</v>
      </c>
      <c r="I99" s="40"/>
      <c r="J99" s="40">
        <f t="shared" si="17"/>
        <v>588</v>
      </c>
      <c r="K99" s="9">
        <f t="shared" si="18"/>
        <v>16</v>
      </c>
      <c r="L99" s="8">
        <f t="shared" si="19"/>
        <v>2.7972027972027972E-2</v>
      </c>
    </row>
    <row r="100" spans="1:15" ht="15.5" x14ac:dyDescent="0.35">
      <c r="A100" s="37">
        <f>A99+1</f>
        <v>87</v>
      </c>
      <c r="B100" s="133" t="s">
        <v>404</v>
      </c>
      <c r="C100" s="16" t="s">
        <v>12</v>
      </c>
      <c r="D100" s="331">
        <v>110</v>
      </c>
      <c r="E100" s="40"/>
      <c r="F100" s="40">
        <f t="shared" si="16"/>
        <v>110</v>
      </c>
      <c r="G100" s="40"/>
      <c r="H100" s="331">
        <f>MROUND((D100*(1+Sheet1!$C$3)),1)</f>
        <v>113</v>
      </c>
      <c r="I100" s="40"/>
      <c r="J100" s="40">
        <f t="shared" si="17"/>
        <v>113</v>
      </c>
      <c r="K100" s="9">
        <f t="shared" si="18"/>
        <v>3</v>
      </c>
      <c r="L100" s="8">
        <f t="shared" si="19"/>
        <v>2.7272727272727271E-2</v>
      </c>
    </row>
    <row r="101" spans="1:15" ht="15.5" x14ac:dyDescent="0.35">
      <c r="A101" s="37">
        <f t="shared" si="20"/>
        <v>88</v>
      </c>
      <c r="B101" s="133" t="s">
        <v>405</v>
      </c>
      <c r="C101" s="16" t="s">
        <v>12</v>
      </c>
      <c r="D101" s="331">
        <v>39</v>
      </c>
      <c r="E101" s="40"/>
      <c r="F101" s="40">
        <f t="shared" si="16"/>
        <v>39</v>
      </c>
      <c r="G101" s="40"/>
      <c r="H101" s="331">
        <f>MROUND((D101*(1+Sheet1!$C$3)),1)</f>
        <v>40</v>
      </c>
      <c r="I101" s="40"/>
      <c r="J101" s="40">
        <f t="shared" si="17"/>
        <v>40</v>
      </c>
      <c r="K101" s="9">
        <f t="shared" si="18"/>
        <v>1</v>
      </c>
      <c r="L101" s="8">
        <f t="shared" si="19"/>
        <v>2.564102564102564E-2</v>
      </c>
    </row>
    <row r="102" spans="1:15" ht="15.5" x14ac:dyDescent="0.35">
      <c r="A102" s="37">
        <f t="shared" si="20"/>
        <v>89</v>
      </c>
      <c r="B102" s="133" t="s">
        <v>406</v>
      </c>
      <c r="C102" s="16" t="s">
        <v>12</v>
      </c>
      <c r="D102" s="331">
        <v>187</v>
      </c>
      <c r="E102" s="40"/>
      <c r="F102" s="40">
        <f t="shared" si="16"/>
        <v>187</v>
      </c>
      <c r="G102" s="40"/>
      <c r="H102" s="331">
        <f>MROUND((D102*(1+Sheet1!$C$3)),1)</f>
        <v>192</v>
      </c>
      <c r="I102" s="40"/>
      <c r="J102" s="40">
        <f t="shared" si="17"/>
        <v>192</v>
      </c>
      <c r="K102" s="9">
        <f t="shared" si="18"/>
        <v>5</v>
      </c>
      <c r="L102" s="8">
        <f t="shared" si="19"/>
        <v>2.6737967914438502E-2</v>
      </c>
    </row>
    <row r="103" spans="1:15" ht="15.5" x14ac:dyDescent="0.35">
      <c r="A103" s="37">
        <f t="shared" si="20"/>
        <v>90</v>
      </c>
      <c r="B103" s="133" t="s">
        <v>407</v>
      </c>
      <c r="C103" s="16" t="s">
        <v>12</v>
      </c>
      <c r="D103" s="331">
        <v>66</v>
      </c>
      <c r="E103" s="40"/>
      <c r="F103" s="40">
        <f t="shared" si="16"/>
        <v>66</v>
      </c>
      <c r="G103" s="40"/>
      <c r="H103" s="331">
        <f>MROUND((D103*(1+Sheet1!$C$3)),1)</f>
        <v>68</v>
      </c>
      <c r="I103" s="40"/>
      <c r="J103" s="40">
        <f t="shared" si="17"/>
        <v>68</v>
      </c>
      <c r="K103" s="9">
        <f t="shared" si="18"/>
        <v>2</v>
      </c>
      <c r="L103" s="8">
        <f t="shared" si="19"/>
        <v>3.0303030303030304E-2</v>
      </c>
    </row>
    <row r="104" spans="1:15" ht="15.5" x14ac:dyDescent="0.35">
      <c r="A104" s="37">
        <f t="shared" si="20"/>
        <v>91</v>
      </c>
      <c r="B104" s="133" t="s">
        <v>408</v>
      </c>
      <c r="C104" s="16" t="s">
        <v>12</v>
      </c>
      <c r="D104" s="331">
        <v>23</v>
      </c>
      <c r="E104" s="40"/>
      <c r="F104" s="40">
        <f t="shared" si="16"/>
        <v>23</v>
      </c>
      <c r="G104" s="40"/>
      <c r="H104" s="331">
        <f>MROUND((D104*(1+Sheet1!$C$3)),1)</f>
        <v>24</v>
      </c>
      <c r="I104" s="40"/>
      <c r="J104" s="40">
        <f t="shared" si="17"/>
        <v>24</v>
      </c>
      <c r="K104" s="9">
        <f t="shared" si="18"/>
        <v>1</v>
      </c>
      <c r="L104" s="8">
        <f t="shared" si="19"/>
        <v>4.3478260869565216E-2</v>
      </c>
    </row>
    <row r="105" spans="1:15" ht="15.5" x14ac:dyDescent="0.35">
      <c r="A105" s="37">
        <f t="shared" si="20"/>
        <v>92</v>
      </c>
      <c r="B105" s="133" t="s">
        <v>409</v>
      </c>
      <c r="C105" s="16" t="s">
        <v>12</v>
      </c>
      <c r="D105" s="331">
        <v>4.4000000000000004</v>
      </c>
      <c r="E105" s="40"/>
      <c r="F105" s="40">
        <f t="shared" si="16"/>
        <v>4.4000000000000004</v>
      </c>
      <c r="G105" s="40"/>
      <c r="H105" s="331">
        <f>MROUND((D105*(1+Sheet1!$C$3)),0.5)</f>
        <v>4.5</v>
      </c>
      <c r="I105" s="40"/>
      <c r="J105" s="40">
        <f t="shared" si="17"/>
        <v>4.5</v>
      </c>
      <c r="K105" s="9">
        <f t="shared" si="18"/>
        <v>9.9999999999999645E-2</v>
      </c>
      <c r="L105" s="8">
        <f t="shared" si="19"/>
        <v>2.2727272727272645E-2</v>
      </c>
    </row>
    <row r="106" spans="1:15" ht="15.5" x14ac:dyDescent="0.35">
      <c r="A106" s="37">
        <f t="shared" si="20"/>
        <v>93</v>
      </c>
      <c r="B106" s="133" t="s">
        <v>410</v>
      </c>
      <c r="C106" s="16" t="s">
        <v>12</v>
      </c>
      <c r="D106" s="331">
        <v>3.9000000000000004</v>
      </c>
      <c r="E106" s="40"/>
      <c r="F106" s="40">
        <f t="shared" si="16"/>
        <v>3.9000000000000004</v>
      </c>
      <c r="G106" s="40"/>
      <c r="H106" s="331">
        <f>MROUND((D106*(1+Sheet1!$C$3)),0.5)</f>
        <v>4</v>
      </c>
      <c r="I106" s="40"/>
      <c r="J106" s="40">
        <f t="shared" si="17"/>
        <v>4</v>
      </c>
      <c r="K106" s="9">
        <f t="shared" si="18"/>
        <v>9.9999999999999645E-2</v>
      </c>
      <c r="L106" s="8">
        <f t="shared" si="19"/>
        <v>2.5641025641025546E-2</v>
      </c>
    </row>
    <row r="107" spans="1:15" ht="15.5" x14ac:dyDescent="0.35">
      <c r="A107" s="37">
        <f t="shared" si="20"/>
        <v>94</v>
      </c>
      <c r="B107" s="133" t="s">
        <v>411</v>
      </c>
      <c r="C107" s="16" t="s">
        <v>12</v>
      </c>
      <c r="D107" s="331">
        <v>3.5</v>
      </c>
      <c r="E107" s="40"/>
      <c r="F107" s="40">
        <f t="shared" si="16"/>
        <v>3.5</v>
      </c>
      <c r="G107" s="40"/>
      <c r="H107" s="331">
        <f>MROUND((D107*(1+Sheet1!$C$3)),0.5)</f>
        <v>3.5</v>
      </c>
      <c r="I107" s="40"/>
      <c r="J107" s="40">
        <f t="shared" si="17"/>
        <v>3.5</v>
      </c>
      <c r="K107" s="9">
        <f t="shared" si="18"/>
        <v>0</v>
      </c>
      <c r="L107" s="8">
        <f t="shared" si="19"/>
        <v>0</v>
      </c>
    </row>
    <row r="108" spans="1:15" ht="15.5" x14ac:dyDescent="0.35">
      <c r="A108" s="37">
        <f t="shared" si="20"/>
        <v>95</v>
      </c>
      <c r="B108" s="133" t="s">
        <v>412</v>
      </c>
      <c r="C108" s="16" t="s">
        <v>12</v>
      </c>
      <c r="D108" s="331">
        <v>2.8000000000000003</v>
      </c>
      <c r="E108" s="40"/>
      <c r="F108" s="40">
        <f t="shared" si="16"/>
        <v>2.8000000000000003</v>
      </c>
      <c r="G108" s="40"/>
      <c r="H108" s="331">
        <f>MROUND((D108*(1+Sheet1!$C$3)),0.5)</f>
        <v>3</v>
      </c>
      <c r="I108" s="40"/>
      <c r="J108" s="40">
        <f t="shared" si="17"/>
        <v>3</v>
      </c>
      <c r="K108" s="9">
        <f t="shared" si="18"/>
        <v>0.19999999999999973</v>
      </c>
      <c r="L108" s="8">
        <f t="shared" si="19"/>
        <v>7.1428571428571327E-2</v>
      </c>
    </row>
    <row r="109" spans="1:15" ht="15.5" x14ac:dyDescent="0.35">
      <c r="A109" s="37">
        <f t="shared" si="20"/>
        <v>96</v>
      </c>
      <c r="B109" s="133" t="s">
        <v>413</v>
      </c>
      <c r="C109" s="16" t="s">
        <v>12</v>
      </c>
      <c r="D109" s="331">
        <v>2.6</v>
      </c>
      <c r="E109" s="40"/>
      <c r="F109" s="40">
        <f t="shared" si="16"/>
        <v>2.6</v>
      </c>
      <c r="G109" s="40"/>
      <c r="H109" s="331">
        <f>MROUND((D109*(1+Sheet1!$C$3)),0.5)+0.5</f>
        <v>3</v>
      </c>
      <c r="I109" s="40"/>
      <c r="J109" s="40">
        <f t="shared" si="17"/>
        <v>3</v>
      </c>
      <c r="K109" s="9">
        <f t="shared" si="18"/>
        <v>0.39999999999999991</v>
      </c>
      <c r="L109" s="8">
        <f t="shared" si="19"/>
        <v>0.1538461538461538</v>
      </c>
    </row>
    <row r="110" spans="1:15" ht="15.5" x14ac:dyDescent="0.35">
      <c r="A110" s="37">
        <f t="shared" si="20"/>
        <v>97</v>
      </c>
      <c r="B110" s="133" t="s">
        <v>414</v>
      </c>
      <c r="C110" s="16" t="s">
        <v>12</v>
      </c>
      <c r="D110" s="331">
        <v>2.3000000000000003</v>
      </c>
      <c r="E110" s="40"/>
      <c r="F110" s="40">
        <f t="shared" si="16"/>
        <v>2.3000000000000003</v>
      </c>
      <c r="G110" s="40"/>
      <c r="H110" s="331">
        <f>MROUND((D110*(1+Sheet1!$C$3)),0.5)</f>
        <v>2.5</v>
      </c>
      <c r="I110" s="40"/>
      <c r="J110" s="40">
        <f t="shared" si="17"/>
        <v>2.5</v>
      </c>
      <c r="K110" s="9">
        <f t="shared" si="18"/>
        <v>0.19999999999999973</v>
      </c>
      <c r="L110" s="8">
        <f t="shared" si="19"/>
        <v>8.6956521739130307E-2</v>
      </c>
    </row>
    <row r="111" spans="1:15" ht="15.5" x14ac:dyDescent="0.35">
      <c r="A111" s="37"/>
      <c r="B111" s="133"/>
      <c r="C111" s="16"/>
      <c r="D111" s="331"/>
      <c r="E111" s="40"/>
      <c r="F111" s="40"/>
      <c r="G111" s="40"/>
      <c r="H111" s="331"/>
      <c r="I111" s="40"/>
      <c r="J111" s="40"/>
      <c r="K111" s="9"/>
      <c r="L111" s="8"/>
    </row>
    <row r="112" spans="1:15" ht="18.5" thickBot="1" x14ac:dyDescent="0.45">
      <c r="A112" s="37"/>
      <c r="B112" s="272" t="s">
        <v>415</v>
      </c>
      <c r="C112" s="16"/>
      <c r="D112" s="331"/>
      <c r="E112" s="40"/>
      <c r="F112" s="40"/>
      <c r="G112" s="40"/>
      <c r="H112" s="331"/>
      <c r="I112" s="40"/>
      <c r="J112" s="40"/>
      <c r="K112" s="9"/>
      <c r="L112" s="137"/>
    </row>
    <row r="113" spans="1:12" ht="16" customHeight="1" thickTop="1" x14ac:dyDescent="0.35">
      <c r="A113" s="37">
        <f>A110+1</f>
        <v>98</v>
      </c>
      <c r="B113" s="133" t="s">
        <v>416</v>
      </c>
      <c r="C113" s="16" t="s">
        <v>12</v>
      </c>
      <c r="D113" s="331">
        <v>3960</v>
      </c>
      <c r="E113" s="40"/>
      <c r="F113" s="40">
        <f>SUM(D113+E113)</f>
        <v>3960</v>
      </c>
      <c r="G113" s="40"/>
      <c r="H113" s="331">
        <f>MROUND((D113*(1+Sheet1!$C$3)),1)</f>
        <v>4069</v>
      </c>
      <c r="I113" s="40"/>
      <c r="J113" s="40">
        <f t="shared" ref="J113:J117" si="21">SUM(H113+I113)</f>
        <v>4069</v>
      </c>
      <c r="K113" s="9">
        <f>J113-F113</f>
        <v>109</v>
      </c>
      <c r="L113" s="8">
        <f>IF(F113="","NEW",K113/F113)</f>
        <v>2.7525252525252526E-2</v>
      </c>
    </row>
    <row r="114" spans="1:12" ht="15.65" customHeight="1" x14ac:dyDescent="0.35">
      <c r="A114" s="37">
        <f>+A113+1</f>
        <v>99</v>
      </c>
      <c r="B114" s="133" t="s">
        <v>417</v>
      </c>
      <c r="C114" s="16" t="s">
        <v>12</v>
      </c>
      <c r="D114" s="331">
        <v>165</v>
      </c>
      <c r="E114" s="40"/>
      <c r="F114" s="40">
        <f>SUM(D114+E114)</f>
        <v>165</v>
      </c>
      <c r="G114" s="40"/>
      <c r="H114" s="331">
        <f>MROUND((D114*(1+Sheet1!$C$3)),1)</f>
        <v>170</v>
      </c>
      <c r="I114" s="40"/>
      <c r="J114" s="40">
        <f t="shared" si="21"/>
        <v>170</v>
      </c>
      <c r="K114" s="9">
        <f>J114-F114</f>
        <v>5</v>
      </c>
      <c r="L114" s="8">
        <f>IF(F114="","NEW",K114/F114)</f>
        <v>3.0303030303030304E-2</v>
      </c>
    </row>
    <row r="115" spans="1:12" ht="15.65" customHeight="1" x14ac:dyDescent="0.35">
      <c r="A115" s="37">
        <f>+A114+1</f>
        <v>100</v>
      </c>
      <c r="B115" s="133" t="s">
        <v>418</v>
      </c>
      <c r="C115" s="16" t="s">
        <v>12</v>
      </c>
      <c r="D115" s="331">
        <v>1430</v>
      </c>
      <c r="E115" s="40"/>
      <c r="F115" s="40">
        <f>SUM(D115+E115)</f>
        <v>1430</v>
      </c>
      <c r="G115" s="40"/>
      <c r="H115" s="331">
        <f>MROUND((D115*(1+Sheet1!$C$3)),1)</f>
        <v>1469</v>
      </c>
      <c r="I115" s="40"/>
      <c r="J115" s="40">
        <f t="shared" si="21"/>
        <v>1469</v>
      </c>
      <c r="K115" s="9">
        <f>J115-F115</f>
        <v>39</v>
      </c>
      <c r="L115" s="8">
        <f>IF(F115="","NEW",K115/F115)</f>
        <v>2.7272727272727271E-2</v>
      </c>
    </row>
    <row r="116" spans="1:12" ht="15.65" customHeight="1" x14ac:dyDescent="0.35">
      <c r="A116" s="37">
        <f>+A115+1</f>
        <v>101</v>
      </c>
      <c r="B116" s="133" t="s">
        <v>419</v>
      </c>
      <c r="C116" s="16" t="s">
        <v>12</v>
      </c>
      <c r="D116" s="331">
        <v>60</v>
      </c>
      <c r="E116" s="40"/>
      <c r="F116" s="40">
        <f>SUM(D116+E116)</f>
        <v>60</v>
      </c>
      <c r="G116" s="40"/>
      <c r="H116" s="331">
        <f>MROUND((D116*(1+Sheet1!$C$3)),1)</f>
        <v>62</v>
      </c>
      <c r="I116" s="40"/>
      <c r="J116" s="40">
        <f t="shared" si="21"/>
        <v>62</v>
      </c>
      <c r="K116" s="9">
        <f>J116-F116</f>
        <v>2</v>
      </c>
      <c r="L116" s="8">
        <f>IF(F116="","NEW",K116/F116)</f>
        <v>3.3333333333333333E-2</v>
      </c>
    </row>
    <row r="117" spans="1:12" ht="15.65" customHeight="1" x14ac:dyDescent="0.35">
      <c r="A117" s="37">
        <f>+A116+1</f>
        <v>102</v>
      </c>
      <c r="B117" s="133" t="s">
        <v>420</v>
      </c>
      <c r="C117" s="16" t="s">
        <v>12</v>
      </c>
      <c r="D117" s="331">
        <v>220</v>
      </c>
      <c r="E117" s="40"/>
      <c r="F117" s="40">
        <f>SUM(D117+E117)</f>
        <v>220</v>
      </c>
      <c r="G117" s="40"/>
      <c r="H117" s="331">
        <f>MROUND((D117*(1+Sheet1!$C$3)),1)</f>
        <v>226</v>
      </c>
      <c r="I117" s="40"/>
      <c r="J117" s="40">
        <f t="shared" si="21"/>
        <v>226</v>
      </c>
      <c r="K117" s="9">
        <f>J117-F117</f>
        <v>6</v>
      </c>
      <c r="L117" s="8">
        <f>IF(F117="","NEW",K117/F117)</f>
        <v>2.7272727272727271E-2</v>
      </c>
    </row>
    <row r="118" spans="1:12" ht="15.5" x14ac:dyDescent="0.35">
      <c r="A118" s="37"/>
      <c r="B118" s="133"/>
      <c r="C118" s="16"/>
      <c r="D118" s="331"/>
      <c r="E118" s="40"/>
      <c r="F118" s="40"/>
      <c r="G118" s="40"/>
      <c r="H118" s="331"/>
      <c r="I118" s="40"/>
      <c r="J118" s="40"/>
      <c r="K118" s="9"/>
      <c r="L118" s="8"/>
    </row>
    <row r="119" spans="1:12" ht="18.5" thickBot="1" x14ac:dyDescent="0.45">
      <c r="A119" s="37" t="s">
        <v>421</v>
      </c>
      <c r="B119" s="272" t="s">
        <v>422</v>
      </c>
      <c r="C119" s="16"/>
      <c r="D119" s="331"/>
      <c r="E119" s="40"/>
      <c r="F119" s="40"/>
      <c r="G119" s="40"/>
      <c r="H119" s="331"/>
      <c r="I119" s="40"/>
      <c r="J119" s="40"/>
      <c r="K119" s="9"/>
      <c r="L119" s="8"/>
    </row>
    <row r="120" spans="1:12" ht="16" thickTop="1" x14ac:dyDescent="0.35">
      <c r="A120" s="37">
        <f>A117+1</f>
        <v>103</v>
      </c>
      <c r="B120" s="133" t="s">
        <v>423</v>
      </c>
      <c r="C120" s="16" t="s">
        <v>12</v>
      </c>
      <c r="D120" s="331">
        <v>2310</v>
      </c>
      <c r="E120" s="40"/>
      <c r="F120" s="40">
        <f t="shared" ref="F120:F137" si="22">SUM(D120+E120)</f>
        <v>2310</v>
      </c>
      <c r="G120" s="40"/>
      <c r="H120" s="331">
        <f>MROUND((D120*(1+Sheet1!$C$3)),1)</f>
        <v>2374</v>
      </c>
      <c r="I120" s="40"/>
      <c r="J120" s="40">
        <f t="shared" ref="J120:J137" si="23">SUM(H120+I120)</f>
        <v>2374</v>
      </c>
      <c r="K120" s="9">
        <f t="shared" ref="K120:K137" si="24">J120-F120</f>
        <v>64</v>
      </c>
      <c r="L120" s="8">
        <f t="shared" ref="L120:L137" si="25">IF(F120="","NEW",K120/F120)</f>
        <v>2.7705627705627706E-2</v>
      </c>
    </row>
    <row r="121" spans="1:12" ht="15.5" x14ac:dyDescent="0.35">
      <c r="A121" s="37">
        <f t="shared" ref="A121:A137" si="26">A120+1</f>
        <v>104</v>
      </c>
      <c r="B121" s="133" t="s">
        <v>424</v>
      </c>
      <c r="C121" s="16" t="s">
        <v>12</v>
      </c>
      <c r="D121" s="331">
        <v>1510</v>
      </c>
      <c r="E121" s="40"/>
      <c r="F121" s="40">
        <f t="shared" si="22"/>
        <v>1510</v>
      </c>
      <c r="G121" s="40"/>
      <c r="H121" s="331">
        <f>MROUND((D121*(1+Sheet1!$C$3)),1)</f>
        <v>1552</v>
      </c>
      <c r="I121" s="40"/>
      <c r="J121" s="40">
        <f t="shared" si="23"/>
        <v>1552</v>
      </c>
      <c r="K121" s="9">
        <f t="shared" si="24"/>
        <v>42</v>
      </c>
      <c r="L121" s="8">
        <f t="shared" si="25"/>
        <v>2.781456953642384E-2</v>
      </c>
    </row>
    <row r="122" spans="1:12" ht="15.5" x14ac:dyDescent="0.35">
      <c r="A122" s="37">
        <f t="shared" si="26"/>
        <v>105</v>
      </c>
      <c r="B122" s="133" t="s">
        <v>425</v>
      </c>
      <c r="C122" s="16" t="s">
        <v>12</v>
      </c>
      <c r="D122" s="331">
        <v>1430</v>
      </c>
      <c r="E122" s="40"/>
      <c r="F122" s="40">
        <f t="shared" si="22"/>
        <v>1430</v>
      </c>
      <c r="G122" s="40"/>
      <c r="H122" s="331">
        <f>MROUND((D122*(1+Sheet1!$C$3)),1)</f>
        <v>1469</v>
      </c>
      <c r="I122" s="40"/>
      <c r="J122" s="40">
        <f t="shared" si="23"/>
        <v>1469</v>
      </c>
      <c r="K122" s="9">
        <f t="shared" si="24"/>
        <v>39</v>
      </c>
      <c r="L122" s="8">
        <f t="shared" si="25"/>
        <v>2.7272727272727271E-2</v>
      </c>
    </row>
    <row r="123" spans="1:12" ht="15.5" x14ac:dyDescent="0.35">
      <c r="A123" s="37">
        <f t="shared" si="26"/>
        <v>106</v>
      </c>
      <c r="B123" s="133" t="s">
        <v>426</v>
      </c>
      <c r="C123" s="16" t="s">
        <v>12</v>
      </c>
      <c r="D123" s="331">
        <v>2695</v>
      </c>
      <c r="E123" s="40"/>
      <c r="F123" s="40">
        <f t="shared" si="22"/>
        <v>2695</v>
      </c>
      <c r="G123" s="40"/>
      <c r="H123" s="331">
        <f>MROUND((D123*(1+Sheet1!$C$3)),1)</f>
        <v>2769</v>
      </c>
      <c r="I123" s="40"/>
      <c r="J123" s="40">
        <f t="shared" si="23"/>
        <v>2769</v>
      </c>
      <c r="K123" s="9">
        <f t="shared" si="24"/>
        <v>74</v>
      </c>
      <c r="L123" s="8">
        <f t="shared" si="25"/>
        <v>2.7458256029684602E-2</v>
      </c>
    </row>
    <row r="124" spans="1:12" ht="15.5" x14ac:dyDescent="0.35">
      <c r="A124" s="37">
        <f t="shared" si="26"/>
        <v>107</v>
      </c>
      <c r="B124" s="133" t="s">
        <v>427</v>
      </c>
      <c r="C124" s="16" t="s">
        <v>12</v>
      </c>
      <c r="D124" s="331">
        <v>1870</v>
      </c>
      <c r="E124" s="40"/>
      <c r="F124" s="40">
        <f t="shared" si="22"/>
        <v>1870</v>
      </c>
      <c r="G124" s="40"/>
      <c r="H124" s="331">
        <f>MROUND((D124*(1+Sheet1!$C$3)),1)</f>
        <v>1921</v>
      </c>
      <c r="I124" s="40"/>
      <c r="J124" s="40">
        <f t="shared" si="23"/>
        <v>1921</v>
      </c>
      <c r="K124" s="9">
        <f t="shared" si="24"/>
        <v>51</v>
      </c>
      <c r="L124" s="8">
        <f t="shared" si="25"/>
        <v>2.7272727272727271E-2</v>
      </c>
    </row>
    <row r="125" spans="1:12" ht="15.5" x14ac:dyDescent="0.35">
      <c r="A125" s="37">
        <f t="shared" si="26"/>
        <v>108</v>
      </c>
      <c r="B125" s="133" t="s">
        <v>428</v>
      </c>
      <c r="C125" s="16" t="s">
        <v>12</v>
      </c>
      <c r="D125" s="331">
        <v>1540</v>
      </c>
      <c r="E125" s="40"/>
      <c r="F125" s="40">
        <f t="shared" si="22"/>
        <v>1540</v>
      </c>
      <c r="G125" s="40"/>
      <c r="H125" s="331">
        <f>MROUND((D125*(1+Sheet1!$C$3)),1)</f>
        <v>1582</v>
      </c>
      <c r="I125" s="40"/>
      <c r="J125" s="40">
        <f t="shared" si="23"/>
        <v>1582</v>
      </c>
      <c r="K125" s="9">
        <f t="shared" si="24"/>
        <v>42</v>
      </c>
      <c r="L125" s="8">
        <f t="shared" si="25"/>
        <v>2.7272727272727271E-2</v>
      </c>
    </row>
    <row r="126" spans="1:12" ht="15.5" x14ac:dyDescent="0.35">
      <c r="A126" s="37">
        <f t="shared" si="26"/>
        <v>109</v>
      </c>
      <c r="B126" s="133" t="s">
        <v>417</v>
      </c>
      <c r="C126" s="16" t="s">
        <v>12</v>
      </c>
      <c r="D126" s="331">
        <v>149</v>
      </c>
      <c r="E126" s="40"/>
      <c r="F126" s="40">
        <f t="shared" si="22"/>
        <v>149</v>
      </c>
      <c r="G126" s="40"/>
      <c r="H126" s="331">
        <f>MROUND((D126*(1+Sheet1!$C$3)),1)</f>
        <v>153</v>
      </c>
      <c r="I126" s="40"/>
      <c r="J126" s="40">
        <f t="shared" si="23"/>
        <v>153</v>
      </c>
      <c r="K126" s="9">
        <f t="shared" si="24"/>
        <v>4</v>
      </c>
      <c r="L126" s="8">
        <f t="shared" si="25"/>
        <v>2.6845637583892617E-2</v>
      </c>
    </row>
    <row r="127" spans="1:12" ht="15.5" x14ac:dyDescent="0.35">
      <c r="A127" s="37">
        <f t="shared" si="26"/>
        <v>110</v>
      </c>
      <c r="B127" s="133" t="s">
        <v>429</v>
      </c>
      <c r="C127" s="16" t="s">
        <v>12</v>
      </c>
      <c r="D127" s="331">
        <v>90</v>
      </c>
      <c r="E127" s="40"/>
      <c r="F127" s="40">
        <f t="shared" si="22"/>
        <v>90</v>
      </c>
      <c r="G127" s="40"/>
      <c r="H127" s="331">
        <f>MROUND((D127*(1+Sheet1!$C$3)),1)</f>
        <v>92</v>
      </c>
      <c r="I127" s="40"/>
      <c r="J127" s="40">
        <f t="shared" si="23"/>
        <v>92</v>
      </c>
      <c r="K127" s="9">
        <f t="shared" si="24"/>
        <v>2</v>
      </c>
      <c r="L127" s="8">
        <f t="shared" si="25"/>
        <v>2.2222222222222223E-2</v>
      </c>
    </row>
    <row r="128" spans="1:12" ht="15.5" x14ac:dyDescent="0.35">
      <c r="A128" s="37">
        <f t="shared" si="26"/>
        <v>111</v>
      </c>
      <c r="B128" s="133" t="s">
        <v>430</v>
      </c>
      <c r="C128" s="16" t="s">
        <v>12</v>
      </c>
      <c r="D128" s="331">
        <v>72</v>
      </c>
      <c r="E128" s="40"/>
      <c r="F128" s="40">
        <f t="shared" si="22"/>
        <v>72</v>
      </c>
      <c r="G128" s="40"/>
      <c r="H128" s="331">
        <f>MROUND((D128*(1+Sheet1!$C$3)),1)</f>
        <v>74</v>
      </c>
      <c r="I128" s="40"/>
      <c r="J128" s="40">
        <f t="shared" si="23"/>
        <v>74</v>
      </c>
      <c r="K128" s="9">
        <f t="shared" si="24"/>
        <v>2</v>
      </c>
      <c r="L128" s="8">
        <f t="shared" si="25"/>
        <v>2.7777777777777776E-2</v>
      </c>
    </row>
    <row r="129" spans="1:12" ht="14.25" customHeight="1" x14ac:dyDescent="0.35">
      <c r="A129" s="37">
        <f t="shared" si="26"/>
        <v>112</v>
      </c>
      <c r="B129" s="133" t="s">
        <v>431</v>
      </c>
      <c r="C129" s="16" t="s">
        <v>12</v>
      </c>
      <c r="D129" s="331">
        <v>968</v>
      </c>
      <c r="E129" s="40"/>
      <c r="F129" s="40">
        <f t="shared" si="22"/>
        <v>968</v>
      </c>
      <c r="G129" s="40"/>
      <c r="H129" s="331">
        <f>MROUND((D129*(1+Sheet1!$C$3)),1)</f>
        <v>995</v>
      </c>
      <c r="I129" s="40"/>
      <c r="J129" s="40">
        <f t="shared" si="23"/>
        <v>995</v>
      </c>
      <c r="K129" s="9">
        <f t="shared" si="24"/>
        <v>27</v>
      </c>
      <c r="L129" s="8">
        <f t="shared" si="25"/>
        <v>2.7892561983471075E-2</v>
      </c>
    </row>
    <row r="130" spans="1:12" ht="15.5" x14ac:dyDescent="0.35">
      <c r="A130" s="37">
        <f t="shared" si="26"/>
        <v>113</v>
      </c>
      <c r="B130" s="133" t="s">
        <v>432</v>
      </c>
      <c r="C130" s="16" t="s">
        <v>12</v>
      </c>
      <c r="D130" s="331">
        <v>57</v>
      </c>
      <c r="E130" s="40"/>
      <c r="F130" s="40">
        <f t="shared" si="22"/>
        <v>57</v>
      </c>
      <c r="G130" s="40"/>
      <c r="H130" s="331">
        <f>MROUND((D130*(1+Sheet1!$C$3)),1)</f>
        <v>59</v>
      </c>
      <c r="I130" s="40"/>
      <c r="J130" s="40">
        <f t="shared" si="23"/>
        <v>59</v>
      </c>
      <c r="K130" s="9">
        <f t="shared" si="24"/>
        <v>2</v>
      </c>
      <c r="L130" s="8">
        <f t="shared" si="25"/>
        <v>3.5087719298245612E-2</v>
      </c>
    </row>
    <row r="131" spans="1:12" ht="15.5" x14ac:dyDescent="0.35">
      <c r="A131" s="37">
        <f t="shared" si="26"/>
        <v>114</v>
      </c>
      <c r="B131" s="133" t="s">
        <v>433</v>
      </c>
      <c r="C131" s="16" t="s">
        <v>12</v>
      </c>
      <c r="D131" s="331">
        <v>880</v>
      </c>
      <c r="E131" s="40"/>
      <c r="F131" s="40">
        <f t="shared" si="22"/>
        <v>880</v>
      </c>
      <c r="G131" s="40"/>
      <c r="H131" s="331">
        <f>MROUND((D131*(1+Sheet1!$C$3)),1)</f>
        <v>904</v>
      </c>
      <c r="I131" s="40"/>
      <c r="J131" s="40">
        <f t="shared" si="23"/>
        <v>904</v>
      </c>
      <c r="K131" s="9">
        <f t="shared" si="24"/>
        <v>24</v>
      </c>
      <c r="L131" s="8">
        <f t="shared" si="25"/>
        <v>2.7272727272727271E-2</v>
      </c>
    </row>
    <row r="132" spans="1:12" ht="15.5" x14ac:dyDescent="0.35">
      <c r="A132" s="37">
        <f t="shared" si="26"/>
        <v>115</v>
      </c>
      <c r="B132" s="133" t="s">
        <v>434</v>
      </c>
      <c r="C132" s="16" t="s">
        <v>12</v>
      </c>
      <c r="D132" s="331">
        <v>42</v>
      </c>
      <c r="E132" s="40"/>
      <c r="F132" s="40">
        <f t="shared" si="22"/>
        <v>42</v>
      </c>
      <c r="G132" s="40"/>
      <c r="H132" s="331">
        <f>MROUND((D132*(1+Sheet1!$C$3)),1)</f>
        <v>43</v>
      </c>
      <c r="I132" s="40"/>
      <c r="J132" s="40">
        <f t="shared" si="23"/>
        <v>43</v>
      </c>
      <c r="K132" s="9">
        <f t="shared" si="24"/>
        <v>1</v>
      </c>
      <c r="L132" s="8">
        <f t="shared" si="25"/>
        <v>2.3809523809523808E-2</v>
      </c>
    </row>
    <row r="133" spans="1:12" ht="15.5" x14ac:dyDescent="0.35">
      <c r="A133" s="37">
        <f t="shared" si="26"/>
        <v>116</v>
      </c>
      <c r="B133" s="133" t="s">
        <v>435</v>
      </c>
      <c r="C133" s="16" t="s">
        <v>12</v>
      </c>
      <c r="D133" s="331">
        <v>440</v>
      </c>
      <c r="E133" s="40"/>
      <c r="F133" s="40">
        <f t="shared" si="22"/>
        <v>440</v>
      </c>
      <c r="G133" s="40"/>
      <c r="H133" s="331">
        <f>MROUND((D133*(1+Sheet1!$C$3)),1)</f>
        <v>452</v>
      </c>
      <c r="I133" s="40"/>
      <c r="J133" s="40">
        <f t="shared" si="23"/>
        <v>452</v>
      </c>
      <c r="K133" s="9">
        <f t="shared" si="24"/>
        <v>12</v>
      </c>
      <c r="L133" s="8">
        <f t="shared" si="25"/>
        <v>2.7272727272727271E-2</v>
      </c>
    </row>
    <row r="134" spans="1:12" ht="15.5" x14ac:dyDescent="0.35">
      <c r="A134" s="37">
        <f t="shared" si="26"/>
        <v>117</v>
      </c>
      <c r="B134" s="133" t="s">
        <v>436</v>
      </c>
      <c r="C134" s="16" t="s">
        <v>12</v>
      </c>
      <c r="D134" s="331">
        <v>21</v>
      </c>
      <c r="E134" s="40"/>
      <c r="F134" s="40">
        <f t="shared" si="22"/>
        <v>21</v>
      </c>
      <c r="G134" s="40"/>
      <c r="H134" s="331">
        <f>MROUND((D134*(1+Sheet1!$C$3)),1)</f>
        <v>22</v>
      </c>
      <c r="I134" s="40"/>
      <c r="J134" s="40">
        <f t="shared" si="23"/>
        <v>22</v>
      </c>
      <c r="K134" s="9">
        <f t="shared" si="24"/>
        <v>1</v>
      </c>
      <c r="L134" s="8">
        <f t="shared" si="25"/>
        <v>4.7619047619047616E-2</v>
      </c>
    </row>
    <row r="135" spans="1:12" ht="15" customHeight="1" x14ac:dyDescent="0.35">
      <c r="A135" s="37">
        <f t="shared" si="26"/>
        <v>118</v>
      </c>
      <c r="B135" s="133" t="s">
        <v>437</v>
      </c>
      <c r="C135" s="16" t="s">
        <v>12</v>
      </c>
      <c r="D135" s="331">
        <v>7150</v>
      </c>
      <c r="E135" s="40"/>
      <c r="F135" s="40">
        <f t="shared" si="22"/>
        <v>7150</v>
      </c>
      <c r="G135" s="40"/>
      <c r="H135" s="331">
        <f>MROUND((D135*(1+Sheet1!$C$3)),1)</f>
        <v>7347</v>
      </c>
      <c r="I135" s="40"/>
      <c r="J135" s="40">
        <f t="shared" si="23"/>
        <v>7347</v>
      </c>
      <c r="K135" s="9">
        <f t="shared" si="24"/>
        <v>197</v>
      </c>
      <c r="L135" s="8">
        <f t="shared" si="25"/>
        <v>2.7552447552447554E-2</v>
      </c>
    </row>
    <row r="136" spans="1:12" ht="15.5" x14ac:dyDescent="0.35">
      <c r="A136" s="37">
        <f t="shared" si="26"/>
        <v>119</v>
      </c>
      <c r="B136" s="133" t="s">
        <v>438</v>
      </c>
      <c r="C136" s="16" t="s">
        <v>12</v>
      </c>
      <c r="D136" s="331">
        <v>440</v>
      </c>
      <c r="E136" s="40"/>
      <c r="F136" s="40">
        <f t="shared" si="22"/>
        <v>440</v>
      </c>
      <c r="G136" s="40"/>
      <c r="H136" s="331">
        <f>MROUND((D136*(1+Sheet1!$C$3)),1)</f>
        <v>452</v>
      </c>
      <c r="I136" s="40"/>
      <c r="J136" s="40">
        <f t="shared" si="23"/>
        <v>452</v>
      </c>
      <c r="K136" s="9">
        <f t="shared" si="24"/>
        <v>12</v>
      </c>
      <c r="L136" s="8">
        <f t="shared" si="25"/>
        <v>2.7272727272727271E-2</v>
      </c>
    </row>
    <row r="137" spans="1:12" ht="15.5" x14ac:dyDescent="0.35">
      <c r="A137" s="37">
        <f t="shared" si="26"/>
        <v>120</v>
      </c>
      <c r="B137" s="133" t="s">
        <v>439</v>
      </c>
      <c r="C137" s="16" t="s">
        <v>12</v>
      </c>
      <c r="D137" s="331">
        <v>21</v>
      </c>
      <c r="E137" s="40"/>
      <c r="F137" s="40">
        <f t="shared" si="22"/>
        <v>21</v>
      </c>
      <c r="G137" s="40"/>
      <c r="H137" s="331">
        <f>MROUND((D137*(1+Sheet1!$C$3)),1)</f>
        <v>22</v>
      </c>
      <c r="I137" s="40"/>
      <c r="J137" s="40">
        <f t="shared" si="23"/>
        <v>22</v>
      </c>
      <c r="K137" s="9">
        <f t="shared" si="24"/>
        <v>1</v>
      </c>
      <c r="L137" s="8">
        <f t="shared" si="25"/>
        <v>4.7619047619047616E-2</v>
      </c>
    </row>
    <row r="138" spans="1:12" ht="15.5" x14ac:dyDescent="0.35">
      <c r="A138" s="37"/>
      <c r="B138" s="133"/>
      <c r="C138" s="16"/>
      <c r="D138" s="331"/>
      <c r="E138" s="40"/>
      <c r="F138" s="40"/>
      <c r="G138" s="40"/>
      <c r="H138" s="331"/>
      <c r="I138" s="40"/>
      <c r="J138" s="40"/>
      <c r="K138" s="9"/>
      <c r="L138" s="8"/>
    </row>
    <row r="139" spans="1:12" ht="18.5" thickBot="1" x14ac:dyDescent="0.45">
      <c r="A139" s="37" t="s">
        <v>421</v>
      </c>
      <c r="B139" s="272" t="s">
        <v>440</v>
      </c>
      <c r="C139" s="16"/>
      <c r="D139" s="331"/>
      <c r="E139" s="40"/>
      <c r="F139" s="40"/>
      <c r="G139" s="40"/>
      <c r="H139" s="331"/>
      <c r="I139" s="40"/>
      <c r="J139" s="40"/>
      <c r="K139" s="9"/>
      <c r="L139" s="137"/>
    </row>
    <row r="140" spans="1:12" ht="16" thickTop="1" x14ac:dyDescent="0.35">
      <c r="A140" s="37">
        <f>A137+1</f>
        <v>121</v>
      </c>
      <c r="B140" s="133" t="s">
        <v>441</v>
      </c>
      <c r="C140" s="16" t="s">
        <v>12</v>
      </c>
      <c r="D140" s="331">
        <v>79</v>
      </c>
      <c r="E140" s="40"/>
      <c r="F140" s="40">
        <f>SUM(D140:E140)</f>
        <v>79</v>
      </c>
      <c r="G140" s="40"/>
      <c r="H140" s="331">
        <f>MROUND((D140*(1+Sheet1!$C$3)),0.5)+0.5</f>
        <v>81.5</v>
      </c>
      <c r="I140" s="40"/>
      <c r="J140" s="40">
        <f t="shared" ref="J140:J141" si="27">SUM(H140+I140)</f>
        <v>81.5</v>
      </c>
      <c r="K140" s="9">
        <f>J140-F140</f>
        <v>2.5</v>
      </c>
      <c r="L140" s="8">
        <f>IF(F140="","NEW",K140/F140)</f>
        <v>3.1645569620253167E-2</v>
      </c>
    </row>
    <row r="141" spans="1:12" ht="15.5" x14ac:dyDescent="0.35">
      <c r="A141" s="37">
        <f>+A140+1</f>
        <v>122</v>
      </c>
      <c r="B141" s="133" t="s">
        <v>442</v>
      </c>
      <c r="C141" s="16" t="s">
        <v>12</v>
      </c>
      <c r="D141" s="331">
        <v>19</v>
      </c>
      <c r="E141" s="40"/>
      <c r="F141" s="40">
        <f>SUM(D141:E141)</f>
        <v>19</v>
      </c>
      <c r="G141" s="40"/>
      <c r="H141" s="331">
        <f>MROUND((D141*(1+Sheet1!$C$3)),1)</f>
        <v>20</v>
      </c>
      <c r="I141" s="40"/>
      <c r="J141" s="40">
        <f t="shared" si="27"/>
        <v>20</v>
      </c>
      <c r="K141" s="9">
        <f>J141-F141</f>
        <v>1</v>
      </c>
      <c r="L141" s="8">
        <f>IF(F141="","NEW",K141/F141)</f>
        <v>5.2631578947368418E-2</v>
      </c>
    </row>
    <row r="142" spans="1:12" ht="15.5" x14ac:dyDescent="0.35">
      <c r="A142" s="37"/>
      <c r="B142" s="138"/>
      <c r="C142" s="16"/>
      <c r="D142" s="40"/>
      <c r="E142" s="40"/>
      <c r="F142" s="40"/>
      <c r="G142" s="40"/>
      <c r="H142" s="40"/>
      <c r="I142" s="40"/>
      <c r="J142" s="40"/>
      <c r="K142" s="9"/>
      <c r="L142" s="8"/>
    </row>
    <row r="143" spans="1:12" ht="18.5" thickBot="1" x14ac:dyDescent="0.4">
      <c r="A143" s="37"/>
      <c r="B143" s="259" t="s">
        <v>443</v>
      </c>
      <c r="C143" s="16"/>
      <c r="D143" s="40"/>
      <c r="E143" s="40"/>
      <c r="F143" s="40"/>
      <c r="G143" s="40"/>
      <c r="H143" s="40"/>
      <c r="I143" s="40"/>
      <c r="J143" s="40"/>
      <c r="K143" s="9"/>
      <c r="L143" s="8"/>
    </row>
    <row r="144" spans="1:12" ht="16" thickTop="1" x14ac:dyDescent="0.35">
      <c r="A144" s="37">
        <f>A141+1</f>
        <v>123</v>
      </c>
      <c r="B144" s="133" t="s">
        <v>444</v>
      </c>
      <c r="C144" s="16" t="s">
        <v>12</v>
      </c>
      <c r="D144" s="584" t="s">
        <v>1464</v>
      </c>
      <c r="E144" s="585"/>
      <c r="F144" s="585"/>
      <c r="G144" s="585"/>
      <c r="H144" s="585"/>
      <c r="I144" s="585"/>
      <c r="J144" s="586"/>
      <c r="K144" s="9"/>
      <c r="L144" s="8"/>
    </row>
    <row r="145" spans="1:12" ht="15.5" x14ac:dyDescent="0.35">
      <c r="A145" s="37">
        <f>A144+1</f>
        <v>124</v>
      </c>
      <c r="B145" s="133" t="s">
        <v>445</v>
      </c>
      <c r="C145" s="16" t="s">
        <v>12</v>
      </c>
      <c r="D145" s="584" t="s">
        <v>1465</v>
      </c>
      <c r="E145" s="585"/>
      <c r="F145" s="585"/>
      <c r="G145" s="585"/>
      <c r="H145" s="585"/>
      <c r="I145" s="585"/>
      <c r="J145" s="586"/>
      <c r="K145" s="9"/>
      <c r="L145" s="8"/>
    </row>
    <row r="146" spans="1:12" ht="15.5" x14ac:dyDescent="0.35">
      <c r="A146" s="37">
        <f t="shared" ref="A146:A147" si="28">A145+1</f>
        <v>125</v>
      </c>
      <c r="B146" s="133" t="s">
        <v>446</v>
      </c>
      <c r="C146" s="16" t="s">
        <v>12</v>
      </c>
      <c r="D146" s="584" t="s">
        <v>1465</v>
      </c>
      <c r="E146" s="585"/>
      <c r="F146" s="585"/>
      <c r="G146" s="585"/>
      <c r="H146" s="585"/>
      <c r="I146" s="585"/>
      <c r="J146" s="586"/>
      <c r="K146" s="9"/>
      <c r="L146" s="8"/>
    </row>
    <row r="147" spans="1:12" ht="15.5" x14ac:dyDescent="0.35">
      <c r="A147" s="37">
        <f t="shared" si="28"/>
        <v>126</v>
      </c>
      <c r="B147" s="133" t="s">
        <v>447</v>
      </c>
      <c r="C147" s="16" t="s">
        <v>12</v>
      </c>
      <c r="D147" s="584" t="s">
        <v>1465</v>
      </c>
      <c r="E147" s="585"/>
      <c r="F147" s="585"/>
      <c r="G147" s="585"/>
      <c r="H147" s="585"/>
      <c r="I147" s="585"/>
      <c r="J147" s="586"/>
      <c r="K147" s="9"/>
      <c r="L147" s="8"/>
    </row>
    <row r="148" spans="1:12" ht="15.5" x14ac:dyDescent="0.35">
      <c r="A148" s="37"/>
      <c r="B148" s="38"/>
      <c r="C148" s="16"/>
      <c r="D148" s="40"/>
      <c r="E148" s="40"/>
      <c r="F148" s="40"/>
      <c r="G148" s="40"/>
      <c r="H148" s="40"/>
      <c r="I148" s="40"/>
      <c r="J148" s="40"/>
      <c r="K148" s="9"/>
      <c r="L148" s="8"/>
    </row>
    <row r="149" spans="1:12" ht="18.5" thickBot="1" x14ac:dyDescent="0.45">
      <c r="A149" s="136"/>
      <c r="B149" s="272" t="s">
        <v>448</v>
      </c>
      <c r="C149" s="16"/>
      <c r="D149" s="40"/>
      <c r="E149" s="40"/>
      <c r="F149" s="40"/>
      <c r="G149" s="40"/>
      <c r="H149" s="40"/>
      <c r="I149" s="40"/>
      <c r="J149" s="40"/>
      <c r="K149" s="9"/>
      <c r="L149" s="8"/>
    </row>
    <row r="150" spans="1:12" ht="16" thickTop="1" x14ac:dyDescent="0.35">
      <c r="A150" s="37">
        <f>A147+1</f>
        <v>127</v>
      </c>
      <c r="B150" s="139" t="s">
        <v>449</v>
      </c>
      <c r="C150" s="16" t="s">
        <v>12</v>
      </c>
      <c r="D150" s="331">
        <v>83</v>
      </c>
      <c r="E150" s="40"/>
      <c r="F150" s="40">
        <f t="shared" ref="F150:F158" si="29">SUM(D150:E150)</f>
        <v>83</v>
      </c>
      <c r="G150" s="40"/>
      <c r="H150" s="331">
        <f>MROUND((D150*(1+Sheet1!$C$3)),1)</f>
        <v>85</v>
      </c>
      <c r="I150" s="40"/>
      <c r="J150" s="40">
        <f t="shared" ref="J150:J158" si="30">SUM(H150+I150)</f>
        <v>85</v>
      </c>
      <c r="K150" s="9">
        <f t="shared" ref="K150:K158" si="31">J150-F150</f>
        <v>2</v>
      </c>
      <c r="L150" s="8">
        <f t="shared" ref="L150:L158" si="32">IF(F150="","NEW",K150/F150)</f>
        <v>2.4096385542168676E-2</v>
      </c>
    </row>
    <row r="151" spans="1:12" ht="15.5" x14ac:dyDescent="0.35">
      <c r="A151" s="37">
        <f t="shared" ref="A151:A158" si="33">A150+1</f>
        <v>128</v>
      </c>
      <c r="B151" s="139" t="s">
        <v>450</v>
      </c>
      <c r="C151" s="16" t="s">
        <v>12</v>
      </c>
      <c r="D151" s="331">
        <v>154</v>
      </c>
      <c r="E151" s="40"/>
      <c r="F151" s="40">
        <f t="shared" si="29"/>
        <v>154</v>
      </c>
      <c r="G151" s="40"/>
      <c r="H151" s="331">
        <f>MROUND((D151*(1+Sheet1!$C$3)),1)</f>
        <v>158</v>
      </c>
      <c r="I151" s="40"/>
      <c r="J151" s="40">
        <f t="shared" si="30"/>
        <v>158</v>
      </c>
      <c r="K151" s="9">
        <f t="shared" si="31"/>
        <v>4</v>
      </c>
      <c r="L151" s="8">
        <f t="shared" si="32"/>
        <v>2.5974025974025976E-2</v>
      </c>
    </row>
    <row r="152" spans="1:12" ht="15.5" x14ac:dyDescent="0.35">
      <c r="A152" s="37">
        <f t="shared" si="33"/>
        <v>129</v>
      </c>
      <c r="B152" s="139" t="s">
        <v>451</v>
      </c>
      <c r="C152" s="16" t="s">
        <v>12</v>
      </c>
      <c r="D152" s="331">
        <v>264</v>
      </c>
      <c r="E152" s="40"/>
      <c r="F152" s="40">
        <f t="shared" si="29"/>
        <v>264</v>
      </c>
      <c r="G152" s="40"/>
      <c r="H152" s="331">
        <f>MROUND((D152*(1+Sheet1!$C$3)),1)</f>
        <v>271</v>
      </c>
      <c r="I152" s="40"/>
      <c r="J152" s="40">
        <f t="shared" si="30"/>
        <v>271</v>
      </c>
      <c r="K152" s="9">
        <f t="shared" si="31"/>
        <v>7</v>
      </c>
      <c r="L152" s="8">
        <f t="shared" si="32"/>
        <v>2.6515151515151516E-2</v>
      </c>
    </row>
    <row r="153" spans="1:12" ht="15.5" x14ac:dyDescent="0.35">
      <c r="A153" s="37">
        <f t="shared" si="33"/>
        <v>130</v>
      </c>
      <c r="B153" s="139" t="s">
        <v>452</v>
      </c>
      <c r="C153" s="16" t="s">
        <v>12</v>
      </c>
      <c r="D153" s="331">
        <v>468</v>
      </c>
      <c r="E153" s="40"/>
      <c r="F153" s="40">
        <f t="shared" si="29"/>
        <v>468</v>
      </c>
      <c r="G153" s="40"/>
      <c r="H153" s="331">
        <f>MROUND((D153*(1+Sheet1!$C$3)),1)+19</f>
        <v>500</v>
      </c>
      <c r="I153" s="40"/>
      <c r="J153" s="40">
        <f t="shared" si="30"/>
        <v>500</v>
      </c>
      <c r="K153" s="9">
        <f t="shared" si="31"/>
        <v>32</v>
      </c>
      <c r="L153" s="8">
        <f t="shared" si="32"/>
        <v>6.8376068376068383E-2</v>
      </c>
    </row>
    <row r="154" spans="1:12" ht="15.5" x14ac:dyDescent="0.35">
      <c r="A154" s="37">
        <f t="shared" si="33"/>
        <v>131</v>
      </c>
      <c r="B154" s="139" t="s">
        <v>453</v>
      </c>
      <c r="C154" s="16" t="s">
        <v>12</v>
      </c>
      <c r="D154" s="331">
        <v>770</v>
      </c>
      <c r="E154" s="40"/>
      <c r="F154" s="40">
        <f t="shared" si="29"/>
        <v>770</v>
      </c>
      <c r="G154" s="40"/>
      <c r="H154" s="331">
        <f>MROUND((D154*(1+Sheet1!$C$3)),1)+109</f>
        <v>900</v>
      </c>
      <c r="I154" s="40"/>
      <c r="J154" s="40">
        <f t="shared" si="30"/>
        <v>900</v>
      </c>
      <c r="K154" s="9">
        <f t="shared" si="31"/>
        <v>130</v>
      </c>
      <c r="L154" s="8">
        <f t="shared" si="32"/>
        <v>0.16883116883116883</v>
      </c>
    </row>
    <row r="155" spans="1:12" ht="15.5" x14ac:dyDescent="0.35">
      <c r="A155" s="37">
        <f t="shared" si="33"/>
        <v>132</v>
      </c>
      <c r="B155" s="139" t="s">
        <v>454</v>
      </c>
      <c r="C155" s="16" t="s">
        <v>12</v>
      </c>
      <c r="D155" s="331">
        <v>1650</v>
      </c>
      <c r="E155" s="40"/>
      <c r="F155" s="40">
        <f t="shared" si="29"/>
        <v>1650</v>
      </c>
      <c r="G155" s="40"/>
      <c r="H155" s="331">
        <f>MROUND((D155*(1+Sheet1!$C$3)),1)+105</f>
        <v>1800</v>
      </c>
      <c r="I155" s="40"/>
      <c r="J155" s="40">
        <f t="shared" si="30"/>
        <v>1800</v>
      </c>
      <c r="K155" s="9">
        <f t="shared" si="31"/>
        <v>150</v>
      </c>
      <c r="L155" s="8">
        <f t="shared" si="32"/>
        <v>9.0909090909090912E-2</v>
      </c>
    </row>
    <row r="156" spans="1:12" ht="15.5" x14ac:dyDescent="0.35">
      <c r="A156" s="37">
        <f t="shared" si="33"/>
        <v>133</v>
      </c>
      <c r="B156" s="139" t="s">
        <v>455</v>
      </c>
      <c r="C156" s="16" t="s">
        <v>12</v>
      </c>
      <c r="D156" s="331">
        <v>32</v>
      </c>
      <c r="E156" s="40"/>
      <c r="F156" s="40">
        <f t="shared" si="29"/>
        <v>32</v>
      </c>
      <c r="G156" s="40"/>
      <c r="H156" s="331">
        <f>MROUND((D156*(1+Sheet1!$C$3)),1)+2</f>
        <v>35</v>
      </c>
      <c r="I156" s="40"/>
      <c r="J156" s="40">
        <f t="shared" si="30"/>
        <v>35</v>
      </c>
      <c r="K156" s="9">
        <f t="shared" si="31"/>
        <v>3</v>
      </c>
      <c r="L156" s="8">
        <f t="shared" si="32"/>
        <v>9.375E-2</v>
      </c>
    </row>
    <row r="157" spans="1:12" ht="15.5" x14ac:dyDescent="0.35">
      <c r="A157" s="37">
        <f t="shared" si="33"/>
        <v>134</v>
      </c>
      <c r="B157" s="139" t="s">
        <v>456</v>
      </c>
      <c r="C157" s="16" t="s">
        <v>12</v>
      </c>
      <c r="D157" s="331">
        <v>57</v>
      </c>
      <c r="E157" s="40"/>
      <c r="F157" s="40">
        <f t="shared" si="29"/>
        <v>57</v>
      </c>
      <c r="G157" s="40"/>
      <c r="H157" s="331">
        <f>MROUND((D157*(1+Sheet1!$C$3)),1)+1</f>
        <v>60</v>
      </c>
      <c r="I157" s="40"/>
      <c r="J157" s="40">
        <f t="shared" si="30"/>
        <v>60</v>
      </c>
      <c r="K157" s="9">
        <f t="shared" si="31"/>
        <v>3</v>
      </c>
      <c r="L157" s="8">
        <f t="shared" si="32"/>
        <v>5.2631578947368418E-2</v>
      </c>
    </row>
    <row r="158" spans="1:12" ht="15.5" x14ac:dyDescent="0.35">
      <c r="A158" s="37">
        <f t="shared" si="33"/>
        <v>135</v>
      </c>
      <c r="B158" s="139" t="s">
        <v>457</v>
      </c>
      <c r="C158" s="16" t="s">
        <v>12</v>
      </c>
      <c r="D158" s="331">
        <v>86</v>
      </c>
      <c r="E158" s="40"/>
      <c r="F158" s="40">
        <f t="shared" si="29"/>
        <v>86</v>
      </c>
      <c r="G158" s="40"/>
      <c r="H158" s="331">
        <f>MROUND((D158*(1+Sheet1!$C$3)),1)+2</f>
        <v>90</v>
      </c>
      <c r="I158" s="40"/>
      <c r="J158" s="40">
        <f t="shared" si="30"/>
        <v>90</v>
      </c>
      <c r="K158" s="9">
        <f t="shared" si="31"/>
        <v>4</v>
      </c>
      <c r="L158" s="8">
        <f t="shared" si="32"/>
        <v>4.6511627906976744E-2</v>
      </c>
    </row>
    <row r="159" spans="1:12" ht="15.5" x14ac:dyDescent="0.35">
      <c r="A159" s="37"/>
      <c r="B159" s="139"/>
      <c r="C159" s="16"/>
      <c r="D159" s="40"/>
      <c r="E159" s="40"/>
      <c r="F159" s="40"/>
      <c r="G159" s="40"/>
      <c r="H159" s="40"/>
      <c r="I159" s="40"/>
      <c r="J159" s="40"/>
      <c r="K159" s="9"/>
      <c r="L159" s="137"/>
    </row>
    <row r="160" spans="1:12" ht="18.5" thickBot="1" x14ac:dyDescent="0.4">
      <c r="A160" s="37"/>
      <c r="B160" s="259" t="s">
        <v>458</v>
      </c>
      <c r="C160" s="16"/>
      <c r="D160" s="40"/>
      <c r="E160" s="40"/>
      <c r="F160" s="40"/>
      <c r="G160" s="40"/>
      <c r="H160" s="40"/>
      <c r="I160" s="40"/>
      <c r="J160" s="40"/>
      <c r="K160" s="9"/>
      <c r="L160" s="8"/>
    </row>
    <row r="161" spans="1:12" ht="16" thickTop="1" x14ac:dyDescent="0.35">
      <c r="A161" s="37">
        <f>A158+1</f>
        <v>136</v>
      </c>
      <c r="B161" s="139" t="s">
        <v>459</v>
      </c>
      <c r="C161" s="16" t="s">
        <v>12</v>
      </c>
      <c r="D161" s="331">
        <v>132</v>
      </c>
      <c r="E161" s="40"/>
      <c r="F161" s="40">
        <f>SUM(D161:E161)</f>
        <v>132</v>
      </c>
      <c r="G161" s="40"/>
      <c r="H161" s="331">
        <f>MROUND((D161*(1+Sheet1!$C$3)),0.1)-15.6</f>
        <v>120</v>
      </c>
      <c r="I161" s="40"/>
      <c r="J161" s="40">
        <f t="shared" ref="J161:J162" si="34">SUM(H161+I161)</f>
        <v>120</v>
      </c>
      <c r="K161" s="9">
        <f>J161-F161</f>
        <v>-12</v>
      </c>
      <c r="L161" s="8">
        <f>IF(F161="","NEW",K161/F161)</f>
        <v>-9.0909090909090912E-2</v>
      </c>
    </row>
    <row r="162" spans="1:12" ht="15.5" x14ac:dyDescent="0.35">
      <c r="A162" s="37">
        <f>+A161+1</f>
        <v>137</v>
      </c>
      <c r="B162" s="139" t="s">
        <v>460</v>
      </c>
      <c r="C162" s="16" t="s">
        <v>12</v>
      </c>
      <c r="D162" s="331">
        <v>215</v>
      </c>
      <c r="E162" s="40"/>
      <c r="F162" s="40">
        <f>SUM(D162:E162)</f>
        <v>215</v>
      </c>
      <c r="G162" s="40"/>
      <c r="H162" s="331">
        <f>MROUND((D162*(1+Sheet1!$C$3)),0.1)+29.1</f>
        <v>250</v>
      </c>
      <c r="I162" s="40"/>
      <c r="J162" s="40">
        <f t="shared" si="34"/>
        <v>250</v>
      </c>
      <c r="K162" s="9">
        <f>J162-F162</f>
        <v>35</v>
      </c>
      <c r="L162" s="8">
        <f>IF(F162="","NEW",K162/F162)</f>
        <v>0.16279069767441862</v>
      </c>
    </row>
    <row r="163" spans="1:12" ht="15.5" x14ac:dyDescent="0.35">
      <c r="A163" s="37">
        <f>+A162+1</f>
        <v>138</v>
      </c>
      <c r="B163" s="140" t="s">
        <v>461</v>
      </c>
      <c r="C163" s="16" t="s">
        <v>12</v>
      </c>
      <c r="D163" s="40"/>
      <c r="E163" s="40"/>
      <c r="F163" s="40"/>
      <c r="G163" s="40"/>
      <c r="H163" s="40"/>
      <c r="I163" s="40"/>
      <c r="J163" s="40"/>
      <c r="K163" s="9"/>
      <c r="L163" s="8"/>
    </row>
    <row r="164" spans="1:12" ht="15.5" x14ac:dyDescent="0.35">
      <c r="A164" s="37"/>
      <c r="B164" s="140"/>
      <c r="C164" s="16"/>
      <c r="D164" s="40"/>
      <c r="E164" s="40"/>
      <c r="F164" s="40"/>
      <c r="G164" s="40"/>
      <c r="H164" s="40"/>
      <c r="I164" s="40"/>
      <c r="J164" s="40"/>
      <c r="K164" s="9"/>
      <c r="L164" s="8"/>
    </row>
    <row r="165" spans="1:12" ht="18.5" thickBot="1" x14ac:dyDescent="0.45">
      <c r="A165" s="37" t="s">
        <v>421</v>
      </c>
      <c r="B165" s="272" t="s">
        <v>462</v>
      </c>
      <c r="C165" s="16"/>
      <c r="D165" s="40"/>
      <c r="E165" s="40"/>
      <c r="F165" s="40"/>
      <c r="G165" s="40"/>
      <c r="H165" s="40"/>
      <c r="I165" s="40"/>
      <c r="J165" s="40"/>
      <c r="K165" s="9"/>
      <c r="L165" s="137"/>
    </row>
    <row r="166" spans="1:12" ht="16" customHeight="1" thickTop="1" x14ac:dyDescent="0.35">
      <c r="A166" s="37">
        <f>A163+1</f>
        <v>139</v>
      </c>
      <c r="B166" s="133" t="s">
        <v>463</v>
      </c>
      <c r="C166" s="16" t="s">
        <v>12</v>
      </c>
      <c r="D166" s="331">
        <v>13</v>
      </c>
      <c r="E166" s="40"/>
      <c r="F166" s="40">
        <f t="shared" ref="F166:F176" si="35">SUM(D166:E166)</f>
        <v>13</v>
      </c>
      <c r="G166" s="40"/>
      <c r="H166" s="331">
        <f>MROUND((D166*(1+Sheet1!$C$3)),0.5)</f>
        <v>13.5</v>
      </c>
      <c r="I166" s="40"/>
      <c r="J166" s="40">
        <f t="shared" ref="J166:J176" si="36">SUM(H166+I166)</f>
        <v>13.5</v>
      </c>
      <c r="K166" s="9">
        <f t="shared" ref="K166:K176" si="37">J166-F166</f>
        <v>0.5</v>
      </c>
      <c r="L166" s="8">
        <f t="shared" ref="L166:L176" si="38">IF(F166="","NEW",K166/F166)</f>
        <v>3.8461538461538464E-2</v>
      </c>
    </row>
    <row r="167" spans="1:12" ht="15.65" customHeight="1" x14ac:dyDescent="0.35">
      <c r="A167" s="37">
        <f>+A166+1</f>
        <v>140</v>
      </c>
      <c r="B167" s="133" t="s">
        <v>464</v>
      </c>
      <c r="C167" s="16" t="s">
        <v>12</v>
      </c>
      <c r="D167" s="331">
        <v>170</v>
      </c>
      <c r="E167" s="40"/>
      <c r="F167" s="40">
        <f t="shared" si="35"/>
        <v>170</v>
      </c>
      <c r="G167" s="40"/>
      <c r="H167" s="331">
        <f>MROUND((D167*(1+Sheet1!$C$3)),1)</f>
        <v>175</v>
      </c>
      <c r="I167" s="40"/>
      <c r="J167" s="40">
        <f t="shared" si="36"/>
        <v>175</v>
      </c>
      <c r="K167" s="9">
        <f t="shared" si="37"/>
        <v>5</v>
      </c>
      <c r="L167" s="8">
        <f t="shared" si="38"/>
        <v>2.9411764705882353E-2</v>
      </c>
    </row>
    <row r="168" spans="1:12" ht="16.5" customHeight="1" x14ac:dyDescent="0.35">
      <c r="A168" s="37">
        <f t="shared" ref="A168:A175" si="39">A167+1</f>
        <v>141</v>
      </c>
      <c r="B168" s="133" t="s">
        <v>465</v>
      </c>
      <c r="C168" s="16" t="s">
        <v>12</v>
      </c>
      <c r="D168" s="331">
        <v>154</v>
      </c>
      <c r="E168" s="40"/>
      <c r="F168" s="40">
        <f t="shared" si="35"/>
        <v>154</v>
      </c>
      <c r="G168" s="40"/>
      <c r="H168" s="331">
        <f>MROUND((D168*(1+Sheet1!$C$3)),1)</f>
        <v>158</v>
      </c>
      <c r="I168" s="40"/>
      <c r="J168" s="40">
        <f t="shared" si="36"/>
        <v>158</v>
      </c>
      <c r="K168" s="9">
        <f t="shared" si="37"/>
        <v>4</v>
      </c>
      <c r="L168" s="8">
        <f t="shared" si="38"/>
        <v>2.5974025974025976E-2</v>
      </c>
    </row>
    <row r="169" spans="1:12" ht="15.65" customHeight="1" x14ac:dyDescent="0.35">
      <c r="A169" s="37">
        <f t="shared" si="39"/>
        <v>142</v>
      </c>
      <c r="B169" s="133" t="s">
        <v>466</v>
      </c>
      <c r="C169" s="16" t="s">
        <v>12</v>
      </c>
      <c r="D169" s="331">
        <v>1100</v>
      </c>
      <c r="E169" s="40"/>
      <c r="F169" s="40">
        <f t="shared" si="35"/>
        <v>1100</v>
      </c>
      <c r="G169" s="40"/>
      <c r="H169" s="331">
        <f>MROUND((D169*(1+Sheet1!$C$3)),1)</f>
        <v>1130</v>
      </c>
      <c r="I169" s="40"/>
      <c r="J169" s="40">
        <f t="shared" si="36"/>
        <v>1130</v>
      </c>
      <c r="K169" s="9">
        <f t="shared" si="37"/>
        <v>30</v>
      </c>
      <c r="L169" s="8">
        <f t="shared" si="38"/>
        <v>2.7272727272727271E-2</v>
      </c>
    </row>
    <row r="170" spans="1:12" ht="15.65" customHeight="1" x14ac:dyDescent="0.35">
      <c r="A170" s="37">
        <f t="shared" si="39"/>
        <v>143</v>
      </c>
      <c r="B170" s="133" t="s">
        <v>467</v>
      </c>
      <c r="C170" s="16" t="s">
        <v>12</v>
      </c>
      <c r="D170" s="331">
        <v>990</v>
      </c>
      <c r="E170" s="40"/>
      <c r="F170" s="40">
        <f t="shared" si="35"/>
        <v>990</v>
      </c>
      <c r="G170" s="40"/>
      <c r="H170" s="331">
        <f>MROUND((D170*(1+Sheet1!$C$3)),1)</f>
        <v>1017</v>
      </c>
      <c r="I170" s="40"/>
      <c r="J170" s="40">
        <f t="shared" si="36"/>
        <v>1017</v>
      </c>
      <c r="K170" s="9">
        <f t="shared" si="37"/>
        <v>27</v>
      </c>
      <c r="L170" s="8">
        <f t="shared" si="38"/>
        <v>2.7272727272727271E-2</v>
      </c>
    </row>
    <row r="171" spans="1:12" ht="15.65" customHeight="1" x14ac:dyDescent="0.35">
      <c r="A171" s="37">
        <f t="shared" si="39"/>
        <v>144</v>
      </c>
      <c r="B171" s="133" t="s">
        <v>468</v>
      </c>
      <c r="C171" s="16" t="s">
        <v>12</v>
      </c>
      <c r="D171" s="331">
        <v>1320</v>
      </c>
      <c r="E171" s="40"/>
      <c r="F171" s="40">
        <f t="shared" si="35"/>
        <v>1320</v>
      </c>
      <c r="G171" s="40"/>
      <c r="H171" s="331">
        <f>MROUND((D171*(1+Sheet1!$C$3)),1)</f>
        <v>1356</v>
      </c>
      <c r="I171" s="40"/>
      <c r="J171" s="40">
        <f t="shared" si="36"/>
        <v>1356</v>
      </c>
      <c r="K171" s="9">
        <f t="shared" si="37"/>
        <v>36</v>
      </c>
      <c r="L171" s="8">
        <f t="shared" si="38"/>
        <v>2.7272727272727271E-2</v>
      </c>
    </row>
    <row r="172" spans="1:12" ht="15.65" customHeight="1" x14ac:dyDescent="0.35">
      <c r="A172" s="37">
        <f t="shared" si="39"/>
        <v>145</v>
      </c>
      <c r="B172" s="133" t="s">
        <v>469</v>
      </c>
      <c r="C172" s="16" t="s">
        <v>12</v>
      </c>
      <c r="D172" s="331">
        <v>1210</v>
      </c>
      <c r="E172" s="40"/>
      <c r="F172" s="40">
        <f t="shared" si="35"/>
        <v>1210</v>
      </c>
      <c r="G172" s="40"/>
      <c r="H172" s="331">
        <f>MROUND((D172*(1+Sheet1!$C$3)),1)</f>
        <v>1243</v>
      </c>
      <c r="I172" s="40"/>
      <c r="J172" s="40">
        <f t="shared" si="36"/>
        <v>1243</v>
      </c>
      <c r="K172" s="9">
        <f t="shared" si="37"/>
        <v>33</v>
      </c>
      <c r="L172" s="8">
        <f t="shared" si="38"/>
        <v>2.7272727272727271E-2</v>
      </c>
    </row>
    <row r="173" spans="1:12" ht="15.65" customHeight="1" x14ac:dyDescent="0.35">
      <c r="A173" s="37">
        <f t="shared" si="39"/>
        <v>146</v>
      </c>
      <c r="B173" s="133" t="s">
        <v>470</v>
      </c>
      <c r="C173" s="16" t="s">
        <v>12</v>
      </c>
      <c r="D173" s="331">
        <v>1430</v>
      </c>
      <c r="E173" s="40"/>
      <c r="F173" s="40">
        <f t="shared" si="35"/>
        <v>1430</v>
      </c>
      <c r="G173" s="40"/>
      <c r="H173" s="331">
        <f>MROUND((D173*(1+Sheet1!$C$3)),1)</f>
        <v>1469</v>
      </c>
      <c r="I173" s="40"/>
      <c r="J173" s="40">
        <f t="shared" si="36"/>
        <v>1469</v>
      </c>
      <c r="K173" s="9">
        <f t="shared" si="37"/>
        <v>39</v>
      </c>
      <c r="L173" s="8">
        <f t="shared" si="38"/>
        <v>2.7272727272727271E-2</v>
      </c>
    </row>
    <row r="174" spans="1:12" ht="31" customHeight="1" x14ac:dyDescent="0.35">
      <c r="A174" s="37">
        <f t="shared" si="39"/>
        <v>147</v>
      </c>
      <c r="B174" s="133" t="s">
        <v>471</v>
      </c>
      <c r="C174" s="16" t="s">
        <v>12</v>
      </c>
      <c r="D174" s="331">
        <v>1320</v>
      </c>
      <c r="E174" s="40"/>
      <c r="F174" s="40">
        <f t="shared" si="35"/>
        <v>1320</v>
      </c>
      <c r="G174" s="40"/>
      <c r="H174" s="331">
        <f>MROUND((D174*(1+Sheet1!$C$3)),1)</f>
        <v>1356</v>
      </c>
      <c r="I174" s="40"/>
      <c r="J174" s="40">
        <f t="shared" si="36"/>
        <v>1356</v>
      </c>
      <c r="K174" s="9">
        <f t="shared" si="37"/>
        <v>36</v>
      </c>
      <c r="L174" s="8">
        <f t="shared" si="38"/>
        <v>2.7272727272727271E-2</v>
      </c>
    </row>
    <row r="175" spans="1:12" ht="15.65" customHeight="1" x14ac:dyDescent="0.35">
      <c r="A175" s="37">
        <f t="shared" si="39"/>
        <v>148</v>
      </c>
      <c r="B175" s="133" t="s">
        <v>472</v>
      </c>
      <c r="C175" s="16" t="s">
        <v>12</v>
      </c>
      <c r="D175" s="331">
        <v>1650</v>
      </c>
      <c r="E175" s="40"/>
      <c r="F175" s="40">
        <f t="shared" si="35"/>
        <v>1650</v>
      </c>
      <c r="G175" s="40"/>
      <c r="H175" s="331">
        <f>MROUND((D175*(1+Sheet1!$C$3)),1)</f>
        <v>1695</v>
      </c>
      <c r="I175" s="40"/>
      <c r="J175" s="40">
        <f t="shared" si="36"/>
        <v>1695</v>
      </c>
      <c r="K175" s="9">
        <f t="shared" si="37"/>
        <v>45</v>
      </c>
      <c r="L175" s="8">
        <f t="shared" si="38"/>
        <v>2.7272727272727271E-2</v>
      </c>
    </row>
    <row r="176" spans="1:12" ht="15.65" customHeight="1" x14ac:dyDescent="0.35">
      <c r="A176" s="37">
        <f>A175+1</f>
        <v>149</v>
      </c>
      <c r="B176" s="133" t="s">
        <v>473</v>
      </c>
      <c r="C176" s="16" t="s">
        <v>12</v>
      </c>
      <c r="D176" s="331">
        <v>1540</v>
      </c>
      <c r="E176" s="40"/>
      <c r="F176" s="40">
        <f t="shared" si="35"/>
        <v>1540</v>
      </c>
      <c r="G176" s="40"/>
      <c r="H176" s="331">
        <f>MROUND((D176*(1+Sheet1!$C$3)),1)</f>
        <v>1582</v>
      </c>
      <c r="I176" s="40"/>
      <c r="J176" s="40">
        <f t="shared" si="36"/>
        <v>1582</v>
      </c>
      <c r="K176" s="9">
        <f t="shared" si="37"/>
        <v>42</v>
      </c>
      <c r="L176" s="8">
        <f t="shared" si="38"/>
        <v>2.7272727272727271E-2</v>
      </c>
    </row>
    <row r="177" spans="1:12" ht="15.5" x14ac:dyDescent="0.35">
      <c r="A177" s="37"/>
      <c r="B177" s="133"/>
      <c r="C177" s="16"/>
      <c r="D177" s="40"/>
      <c r="E177" s="40"/>
      <c r="F177" s="40"/>
      <c r="G177" s="40"/>
      <c r="H177" s="40"/>
      <c r="I177" s="40"/>
      <c r="J177" s="40"/>
      <c r="K177" s="9"/>
      <c r="L177" s="141"/>
    </row>
    <row r="178" spans="1:12" ht="18.5" thickBot="1" x14ac:dyDescent="0.45">
      <c r="A178" s="37" t="s">
        <v>421</v>
      </c>
      <c r="B178" s="273" t="s">
        <v>474</v>
      </c>
      <c r="C178" s="16"/>
      <c r="D178" s="40"/>
      <c r="E178" s="40"/>
      <c r="F178" s="40"/>
      <c r="G178" s="40"/>
      <c r="H178" s="40"/>
      <c r="I178" s="40"/>
      <c r="J178" s="40"/>
      <c r="K178" s="9"/>
      <c r="L178" s="137"/>
    </row>
    <row r="179" spans="1:12" ht="31.5" thickTop="1" x14ac:dyDescent="0.35">
      <c r="A179" s="37">
        <f>A176+1</f>
        <v>150</v>
      </c>
      <c r="B179" s="133" t="s">
        <v>475</v>
      </c>
      <c r="C179" s="16" t="s">
        <v>12</v>
      </c>
      <c r="D179" s="40"/>
      <c r="E179" s="40"/>
      <c r="F179" s="40"/>
      <c r="G179" s="40"/>
      <c r="H179" s="40"/>
      <c r="I179" s="40"/>
      <c r="J179" s="40"/>
      <c r="K179" s="9"/>
      <c r="L179" s="8"/>
    </row>
    <row r="180" spans="1:12" ht="15.5" x14ac:dyDescent="0.35">
      <c r="A180" s="37"/>
      <c r="B180" s="133"/>
      <c r="C180" s="16"/>
      <c r="D180" s="40"/>
      <c r="E180" s="40"/>
      <c r="F180" s="40"/>
      <c r="G180" s="40"/>
      <c r="H180" s="40"/>
      <c r="I180" s="40"/>
      <c r="J180" s="40"/>
      <c r="K180" s="9"/>
      <c r="L180" s="8"/>
    </row>
    <row r="181" spans="1:12" ht="18.5" thickBot="1" x14ac:dyDescent="0.4">
      <c r="A181" s="37" t="s">
        <v>421</v>
      </c>
      <c r="B181" s="269" t="s">
        <v>476</v>
      </c>
      <c r="C181" s="16"/>
      <c r="D181" s="40"/>
      <c r="E181" s="40"/>
      <c r="F181" s="40"/>
      <c r="G181" s="40"/>
      <c r="H181" s="40"/>
      <c r="I181" s="40"/>
      <c r="J181" s="40"/>
      <c r="K181" s="9"/>
      <c r="L181" s="137"/>
    </row>
    <row r="182" spans="1:12" ht="16" thickTop="1" x14ac:dyDescent="0.35">
      <c r="A182" s="37"/>
      <c r="B182" s="133" t="s">
        <v>1492</v>
      </c>
      <c r="C182" s="16"/>
      <c r="D182" s="40"/>
      <c r="E182" s="40"/>
      <c r="F182" s="40"/>
      <c r="G182" s="40"/>
      <c r="H182" s="40"/>
      <c r="I182" s="40"/>
      <c r="J182" s="40"/>
      <c r="K182" s="9"/>
      <c r="L182" s="137"/>
    </row>
    <row r="183" spans="1:12" ht="15.5" x14ac:dyDescent="0.35">
      <c r="A183" s="37"/>
      <c r="B183" s="38"/>
      <c r="C183" s="16"/>
      <c r="D183" s="40"/>
      <c r="E183" s="40"/>
      <c r="F183" s="40"/>
      <c r="G183" s="40"/>
      <c r="H183" s="40"/>
      <c r="I183" s="40"/>
      <c r="J183" s="40"/>
      <c r="K183" s="9"/>
      <c r="L183" s="8"/>
    </row>
    <row r="184" spans="1:12" ht="18.5" thickBot="1" x14ac:dyDescent="0.4">
      <c r="A184" s="37"/>
      <c r="B184" s="259" t="s">
        <v>477</v>
      </c>
      <c r="C184" s="16"/>
      <c r="D184" s="40"/>
      <c r="E184" s="40"/>
      <c r="F184" s="40"/>
      <c r="G184" s="40"/>
      <c r="H184" s="40"/>
      <c r="I184" s="40"/>
      <c r="J184" s="40"/>
      <c r="K184" s="9"/>
      <c r="L184" s="137"/>
    </row>
    <row r="185" spans="1:12" ht="30" customHeight="1" thickTop="1" x14ac:dyDescent="0.35">
      <c r="A185" s="37">
        <f>A179+1</f>
        <v>151</v>
      </c>
      <c r="B185" s="132" t="s">
        <v>478</v>
      </c>
      <c r="C185" s="16" t="s">
        <v>12</v>
      </c>
      <c r="D185" s="40">
        <v>50</v>
      </c>
      <c r="E185" s="40"/>
      <c r="F185" s="40">
        <f>SUM(D185:E185)</f>
        <v>50</v>
      </c>
      <c r="G185" s="40"/>
      <c r="H185" s="331">
        <f>MROUND((D185*(1+Sheet1!$C$3)),0.1)+8.6</f>
        <v>60.000000000000007</v>
      </c>
      <c r="I185" s="40"/>
      <c r="J185" s="40">
        <f>SUM(H185:I185)</f>
        <v>60.000000000000007</v>
      </c>
      <c r="K185" s="9">
        <f>J185-F185</f>
        <v>10.000000000000007</v>
      </c>
      <c r="L185" s="8">
        <f>IF(F185="","NEW",K185/F185)</f>
        <v>0.20000000000000015</v>
      </c>
    </row>
    <row r="186" spans="1:12" ht="15" customHeight="1" x14ac:dyDescent="0.35">
      <c r="A186" s="37"/>
      <c r="B186" s="38"/>
      <c r="C186" s="16"/>
      <c r="D186" s="40"/>
      <c r="E186" s="40"/>
      <c r="F186" s="40"/>
      <c r="G186" s="40"/>
      <c r="H186" s="40"/>
      <c r="I186" s="40"/>
      <c r="J186" s="40"/>
      <c r="K186" s="9"/>
      <c r="L186" s="8"/>
    </row>
    <row r="187" spans="1:12" s="142" customFormat="1" ht="18.5" thickBot="1" x14ac:dyDescent="0.4">
      <c r="A187" s="37" t="s">
        <v>421</v>
      </c>
      <c r="B187" s="269" t="s">
        <v>479</v>
      </c>
      <c r="C187" s="16"/>
      <c r="D187" s="40"/>
      <c r="E187" s="40"/>
      <c r="F187" s="40"/>
      <c r="G187" s="40"/>
      <c r="H187" s="40"/>
      <c r="I187" s="40"/>
      <c r="J187" s="40"/>
      <c r="K187" s="9"/>
      <c r="L187" s="137"/>
    </row>
    <row r="188" spans="1:12" ht="16" thickTop="1" x14ac:dyDescent="0.35">
      <c r="A188" s="37">
        <f>A185+1</f>
        <v>152</v>
      </c>
      <c r="B188" s="143" t="s">
        <v>480</v>
      </c>
      <c r="C188" s="16" t="s">
        <v>12</v>
      </c>
      <c r="D188" s="587" t="s">
        <v>481</v>
      </c>
      <c r="E188" s="588"/>
      <c r="F188" s="588"/>
      <c r="G188" s="588"/>
      <c r="H188" s="588"/>
      <c r="I188" s="588"/>
      <c r="J188" s="589"/>
      <c r="K188" s="9"/>
      <c r="L188" s="8"/>
    </row>
    <row r="189" spans="1:12" ht="15.5" x14ac:dyDescent="0.35">
      <c r="A189" s="37"/>
      <c r="B189" s="143"/>
      <c r="C189" s="16"/>
      <c r="D189" s="144"/>
      <c r="E189" s="144"/>
      <c r="F189" s="144"/>
      <c r="G189" s="144"/>
      <c r="H189" s="144"/>
      <c r="I189" s="144"/>
      <c r="J189" s="144"/>
      <c r="K189" s="9"/>
      <c r="L189" s="8"/>
    </row>
    <row r="190" spans="1:12" ht="17" thickBot="1" x14ac:dyDescent="0.4">
      <c r="A190" s="37"/>
      <c r="B190" s="135" t="s">
        <v>482</v>
      </c>
      <c r="C190" s="16"/>
      <c r="D190" s="40"/>
      <c r="E190" s="40"/>
      <c r="F190" s="40"/>
      <c r="G190" s="40"/>
      <c r="H190" s="40"/>
      <c r="I190" s="40"/>
      <c r="J190" s="40"/>
      <c r="K190" s="9"/>
      <c r="L190" s="137"/>
    </row>
    <row r="191" spans="1:12" ht="16" thickTop="1" x14ac:dyDescent="0.35">
      <c r="A191" s="37"/>
      <c r="B191" s="145"/>
      <c r="C191" s="16"/>
      <c r="D191" s="40"/>
      <c r="E191" s="40"/>
      <c r="F191" s="40"/>
      <c r="G191" s="40"/>
      <c r="H191" s="40"/>
      <c r="I191" s="40"/>
      <c r="J191" s="40"/>
      <c r="K191" s="9"/>
      <c r="L191" s="137"/>
    </row>
    <row r="192" spans="1:12" ht="18.5" thickBot="1" x14ac:dyDescent="0.45">
      <c r="A192" s="37"/>
      <c r="B192" s="272" t="s">
        <v>483</v>
      </c>
      <c r="C192" s="16"/>
      <c r="D192" s="40"/>
      <c r="E192" s="40"/>
      <c r="F192" s="40"/>
      <c r="G192" s="40"/>
      <c r="H192" s="40"/>
      <c r="I192" s="40"/>
      <c r="J192" s="40"/>
      <c r="K192" s="9"/>
      <c r="L192" s="137"/>
    </row>
    <row r="193" spans="1:12" ht="31.5" thickTop="1" x14ac:dyDescent="0.35">
      <c r="A193" s="37">
        <f>A188+1</f>
        <v>153</v>
      </c>
      <c r="B193" s="132" t="s">
        <v>484</v>
      </c>
      <c r="C193" s="16" t="s">
        <v>12</v>
      </c>
      <c r="D193" s="40">
        <v>1144</v>
      </c>
      <c r="E193" s="40"/>
      <c r="F193" s="40">
        <f t="shared" ref="F193:F206" si="40">SUM(D193:E193)</f>
        <v>1144</v>
      </c>
      <c r="G193" s="40"/>
      <c r="H193" s="331">
        <f>MROUND((D193*(1+Sheet1!$C$3)),0.1)</f>
        <v>1175.5</v>
      </c>
      <c r="I193" s="40"/>
      <c r="J193" s="40">
        <f t="shared" ref="J193" si="41">SUM(H193:I193)</f>
        <v>1175.5</v>
      </c>
      <c r="K193" s="9">
        <f t="shared" ref="K193:K196" si="42">J193-F193</f>
        <v>31.5</v>
      </c>
      <c r="L193" s="8">
        <f t="shared" ref="L193:L196" si="43">IF(F193="","NEW",K193/F193)</f>
        <v>2.7534965034965036E-2</v>
      </c>
    </row>
    <row r="194" spans="1:12" ht="31" x14ac:dyDescent="0.35">
      <c r="A194" s="37">
        <f>A193+1</f>
        <v>154</v>
      </c>
      <c r="B194" s="132" t="s">
        <v>485</v>
      </c>
      <c r="C194" s="16" t="s">
        <v>12</v>
      </c>
      <c r="D194" s="40">
        <v>957</v>
      </c>
      <c r="E194" s="40"/>
      <c r="F194" s="40">
        <f t="shared" si="40"/>
        <v>957</v>
      </c>
      <c r="G194" s="40"/>
      <c r="H194" s="331">
        <f>D194</f>
        <v>957</v>
      </c>
      <c r="I194" s="40"/>
      <c r="J194" s="40">
        <f t="shared" ref="J194:J202" si="44">SUM(H194:I194)</f>
        <v>957</v>
      </c>
      <c r="K194" s="9">
        <f t="shared" si="42"/>
        <v>0</v>
      </c>
      <c r="L194" s="8">
        <f t="shared" si="43"/>
        <v>0</v>
      </c>
    </row>
    <row r="195" spans="1:12" ht="15.5" x14ac:dyDescent="0.35">
      <c r="A195" s="37">
        <f t="shared" ref="A195:A198" si="45">A194+1</f>
        <v>155</v>
      </c>
      <c r="B195" s="132" t="s">
        <v>486</v>
      </c>
      <c r="C195" s="16" t="s">
        <v>12</v>
      </c>
      <c r="D195" s="40">
        <v>726</v>
      </c>
      <c r="E195" s="40"/>
      <c r="F195" s="40">
        <f t="shared" si="40"/>
        <v>726</v>
      </c>
      <c r="G195" s="40"/>
      <c r="H195" s="331">
        <f>MROUND((D195*(1+Sheet1!$C$3)),0.1)</f>
        <v>746</v>
      </c>
      <c r="I195" s="40"/>
      <c r="J195" s="40">
        <f t="shared" si="44"/>
        <v>746</v>
      </c>
      <c r="K195" s="9">
        <f t="shared" si="42"/>
        <v>20</v>
      </c>
      <c r="L195" s="8">
        <f t="shared" si="43"/>
        <v>2.7548209366391185E-2</v>
      </c>
    </row>
    <row r="196" spans="1:12" ht="15.5" x14ac:dyDescent="0.35">
      <c r="A196" s="37">
        <f t="shared" si="45"/>
        <v>156</v>
      </c>
      <c r="B196" s="132" t="s">
        <v>487</v>
      </c>
      <c r="C196" s="16" t="s">
        <v>12</v>
      </c>
      <c r="D196" s="40">
        <v>616</v>
      </c>
      <c r="E196" s="40"/>
      <c r="F196" s="40">
        <f t="shared" si="40"/>
        <v>616</v>
      </c>
      <c r="G196" s="40"/>
      <c r="H196" s="331">
        <f>D196</f>
        <v>616</v>
      </c>
      <c r="I196" s="40"/>
      <c r="J196" s="40">
        <f t="shared" si="44"/>
        <v>616</v>
      </c>
      <c r="K196" s="9">
        <f t="shared" si="42"/>
        <v>0</v>
      </c>
      <c r="L196" s="8">
        <f t="shared" si="43"/>
        <v>0</v>
      </c>
    </row>
    <row r="197" spans="1:12" ht="15.5" x14ac:dyDescent="0.35">
      <c r="A197" s="37">
        <f t="shared" si="45"/>
        <v>157</v>
      </c>
      <c r="B197" s="132" t="s">
        <v>488</v>
      </c>
      <c r="C197" s="16" t="s">
        <v>12</v>
      </c>
      <c r="D197" s="40">
        <v>198</v>
      </c>
      <c r="E197" s="40"/>
      <c r="F197" s="40">
        <f t="shared" si="40"/>
        <v>198</v>
      </c>
      <c r="G197" s="40"/>
      <c r="H197" s="331">
        <f>MROUND((D197*(1+Sheet1!$C$3)),0.1)</f>
        <v>203.4</v>
      </c>
      <c r="I197" s="40"/>
      <c r="J197" s="40">
        <f t="shared" si="44"/>
        <v>203.4</v>
      </c>
      <c r="K197" s="9">
        <f>J197-F197</f>
        <v>5.4000000000000057</v>
      </c>
      <c r="L197" s="8">
        <f>IF(F197="","NEW",K197/F197)</f>
        <v>2.7272727272727303E-2</v>
      </c>
    </row>
    <row r="198" spans="1:12" s="51" customFormat="1" ht="52.5" customHeight="1" x14ac:dyDescent="0.35">
      <c r="A198" s="37">
        <f t="shared" si="45"/>
        <v>158</v>
      </c>
      <c r="B198" s="133" t="s">
        <v>489</v>
      </c>
      <c r="C198" s="16" t="s">
        <v>12</v>
      </c>
      <c r="D198" s="40">
        <v>56.1</v>
      </c>
      <c r="E198" s="40"/>
      <c r="F198" s="40">
        <f t="shared" si="40"/>
        <v>56.1</v>
      </c>
      <c r="G198" s="40"/>
      <c r="H198" s="331">
        <f>D198</f>
        <v>56.1</v>
      </c>
      <c r="I198" s="40"/>
      <c r="J198" s="40">
        <f t="shared" si="44"/>
        <v>56.1</v>
      </c>
      <c r="K198" s="9">
        <f>J198-F198</f>
        <v>0</v>
      </c>
      <c r="L198" s="8">
        <f>IF(F198="","NEW",K198/F198)</f>
        <v>0</v>
      </c>
    </row>
    <row r="199" spans="1:12" s="51" customFormat="1" ht="15.5" x14ac:dyDescent="0.35">
      <c r="A199" s="37">
        <f>A198+1</f>
        <v>159</v>
      </c>
      <c r="B199" s="140" t="s">
        <v>490</v>
      </c>
      <c r="C199" s="16" t="s">
        <v>12</v>
      </c>
      <c r="D199" s="40">
        <v>55</v>
      </c>
      <c r="E199" s="40"/>
      <c r="F199" s="40">
        <f t="shared" si="40"/>
        <v>55</v>
      </c>
      <c r="G199" s="40"/>
      <c r="H199" s="331">
        <f>MROUND((D199*(1+Sheet1!$C$3)),0.1)</f>
        <v>56.5</v>
      </c>
      <c r="I199" s="40"/>
      <c r="J199" s="40">
        <f t="shared" si="44"/>
        <v>56.5</v>
      </c>
      <c r="K199" s="9">
        <f>J199-F199</f>
        <v>1.5</v>
      </c>
      <c r="L199" s="8">
        <f>IF(F199="","NEW",K199/F199)</f>
        <v>2.7272727272727271E-2</v>
      </c>
    </row>
    <row r="200" spans="1:12" s="51" customFormat="1" ht="31" x14ac:dyDescent="0.35">
      <c r="A200" s="37">
        <f t="shared" ref="A200:A202" si="46">A199+1</f>
        <v>160</v>
      </c>
      <c r="B200" s="132" t="s">
        <v>491</v>
      </c>
      <c r="C200" s="16" t="s">
        <v>12</v>
      </c>
      <c r="D200" s="40">
        <v>27.5</v>
      </c>
      <c r="E200" s="40"/>
      <c r="F200" s="40">
        <f t="shared" si="40"/>
        <v>27.5</v>
      </c>
      <c r="G200" s="40"/>
      <c r="H200" s="331">
        <f>D200</f>
        <v>27.5</v>
      </c>
      <c r="I200" s="40"/>
      <c r="J200" s="40">
        <f t="shared" si="44"/>
        <v>27.5</v>
      </c>
      <c r="K200" s="9">
        <f t="shared" ref="K200:K202" si="47">J200-F200</f>
        <v>0</v>
      </c>
      <c r="L200" s="8">
        <f t="shared" ref="L200:L202" si="48">IF(F200="","NEW",K200/F200)</f>
        <v>0</v>
      </c>
    </row>
    <row r="201" spans="1:12" s="51" customFormat="1" ht="15.5" x14ac:dyDescent="0.35">
      <c r="A201" s="37">
        <f t="shared" si="46"/>
        <v>161</v>
      </c>
      <c r="B201" s="140" t="s">
        <v>492</v>
      </c>
      <c r="C201" s="16" t="s">
        <v>12</v>
      </c>
      <c r="D201" s="40">
        <v>55</v>
      </c>
      <c r="E201" s="40"/>
      <c r="F201" s="40">
        <f t="shared" si="40"/>
        <v>55</v>
      </c>
      <c r="G201" s="40"/>
      <c r="H201" s="331">
        <f>MROUND((D201*(1+Sheet1!$C$3)),0.1)</f>
        <v>56.5</v>
      </c>
      <c r="I201" s="40"/>
      <c r="J201" s="40">
        <f t="shared" si="44"/>
        <v>56.5</v>
      </c>
      <c r="K201" s="9">
        <f t="shared" si="47"/>
        <v>1.5</v>
      </c>
      <c r="L201" s="8">
        <f t="shared" si="48"/>
        <v>2.7272727272727271E-2</v>
      </c>
    </row>
    <row r="202" spans="1:12" s="51" customFormat="1" ht="15.5" x14ac:dyDescent="0.35">
      <c r="A202" s="37">
        <f t="shared" si="46"/>
        <v>162</v>
      </c>
      <c r="B202" s="140" t="s">
        <v>493</v>
      </c>
      <c r="C202" s="16" t="s">
        <v>12</v>
      </c>
      <c r="D202" s="40">
        <v>61.6</v>
      </c>
      <c r="E202" s="40"/>
      <c r="F202" s="40">
        <f t="shared" si="40"/>
        <v>61.6</v>
      </c>
      <c r="G202" s="40"/>
      <c r="H202" s="331">
        <f>MROUND((D202*(1+Sheet1!$C$3)),0.1)</f>
        <v>63.300000000000004</v>
      </c>
      <c r="I202" s="40"/>
      <c r="J202" s="40">
        <f t="shared" si="44"/>
        <v>63.300000000000004</v>
      </c>
      <c r="K202" s="9">
        <f t="shared" si="47"/>
        <v>1.7000000000000028</v>
      </c>
      <c r="L202" s="8">
        <f t="shared" si="48"/>
        <v>2.7597402597402641E-2</v>
      </c>
    </row>
    <row r="203" spans="1:12" s="51" customFormat="1" ht="15.5" x14ac:dyDescent="0.35">
      <c r="A203" s="37"/>
      <c r="B203" s="298"/>
      <c r="C203" s="16"/>
      <c r="D203" s="40"/>
      <c r="E203" s="40"/>
      <c r="F203" s="40"/>
      <c r="G203" s="40"/>
      <c r="H203" s="40"/>
      <c r="I203" s="40"/>
      <c r="J203" s="40"/>
      <c r="K203" s="9"/>
      <c r="L203" s="8"/>
    </row>
    <row r="204" spans="1:12" ht="17" thickBot="1" x14ac:dyDescent="0.4">
      <c r="A204" s="136" t="s">
        <v>421</v>
      </c>
      <c r="B204" s="274" t="s">
        <v>494</v>
      </c>
      <c r="C204" s="16"/>
      <c r="D204" s="40"/>
      <c r="E204" s="40"/>
      <c r="F204" s="40"/>
      <c r="G204" s="40"/>
      <c r="H204" s="40"/>
      <c r="I204" s="40"/>
      <c r="J204" s="40"/>
      <c r="K204" s="9"/>
      <c r="L204" s="8"/>
    </row>
    <row r="205" spans="1:12" ht="15.5" x14ac:dyDescent="0.35">
      <c r="A205" s="136">
        <f>A202+1</f>
        <v>163</v>
      </c>
      <c r="B205" s="133" t="s">
        <v>495</v>
      </c>
      <c r="C205" s="16" t="s">
        <v>12</v>
      </c>
      <c r="D205" s="40">
        <v>463.33</v>
      </c>
      <c r="E205" s="40">
        <f t="shared" ref="E205:E206" si="49">ROUND(D205*0.2,2)</f>
        <v>92.67</v>
      </c>
      <c r="F205" s="40">
        <f t="shared" si="40"/>
        <v>556</v>
      </c>
      <c r="G205" s="40"/>
      <c r="H205" s="331">
        <f>MROUND((D205*(1+Sheet1!$C$3)),0.1)</f>
        <v>476.1</v>
      </c>
      <c r="I205" s="40">
        <f t="shared" ref="I205:I206" si="50">ROUND(H205*0.2,2)</f>
        <v>95.22</v>
      </c>
      <c r="J205" s="40">
        <f t="shared" ref="J205:J206" si="51">SUM(H205:I205)</f>
        <v>571.32000000000005</v>
      </c>
      <c r="K205" s="9">
        <f>J205-F205</f>
        <v>15.32000000000005</v>
      </c>
      <c r="L205" s="8">
        <f>IF(F205="","NEW",K205/F205)</f>
        <v>2.7553956834532465E-2</v>
      </c>
    </row>
    <row r="206" spans="1:12" ht="15.5" x14ac:dyDescent="0.35">
      <c r="A206" s="136">
        <f>A205+1</f>
        <v>164</v>
      </c>
      <c r="B206" s="143" t="s">
        <v>496</v>
      </c>
      <c r="C206" s="16" t="s">
        <v>12</v>
      </c>
      <c r="D206" s="40">
        <v>655.83</v>
      </c>
      <c r="E206" s="40">
        <f t="shared" si="49"/>
        <v>131.16999999999999</v>
      </c>
      <c r="F206" s="40">
        <f t="shared" si="40"/>
        <v>787</v>
      </c>
      <c r="G206" s="40"/>
      <c r="H206" s="331">
        <f>MROUND((D206*(1+Sheet1!$C$3)),0.1)</f>
        <v>673.90000000000009</v>
      </c>
      <c r="I206" s="40">
        <f t="shared" si="50"/>
        <v>134.78</v>
      </c>
      <c r="J206" s="40">
        <f t="shared" si="51"/>
        <v>808.68000000000006</v>
      </c>
      <c r="K206" s="9">
        <f>J206-F206</f>
        <v>21.680000000000064</v>
      </c>
      <c r="L206" s="8">
        <f>IF(F206="","NEW",K206/F206)</f>
        <v>2.7547649301143663E-2</v>
      </c>
    </row>
    <row r="207" spans="1:12" ht="15.5" x14ac:dyDescent="0.35">
      <c r="A207" s="136"/>
      <c r="B207" s="143"/>
      <c r="C207" s="16"/>
      <c r="D207" s="40"/>
      <c r="E207" s="40"/>
      <c r="F207" s="40"/>
      <c r="G207" s="40"/>
      <c r="H207" s="40"/>
      <c r="I207" s="40"/>
      <c r="J207" s="40"/>
      <c r="K207" s="9"/>
      <c r="L207" s="8"/>
    </row>
    <row r="208" spans="1:12" ht="17" thickBot="1" x14ac:dyDescent="0.4">
      <c r="A208" s="136"/>
      <c r="B208" s="274" t="s">
        <v>497</v>
      </c>
      <c r="C208" s="16"/>
      <c r="D208" s="40"/>
      <c r="E208" s="40"/>
      <c r="F208" s="40"/>
      <c r="G208" s="40"/>
      <c r="H208" s="40"/>
      <c r="I208" s="40"/>
      <c r="J208" s="40"/>
      <c r="K208" s="9"/>
      <c r="L208" s="8"/>
    </row>
    <row r="209" spans="1:12" ht="15.5" x14ac:dyDescent="0.35">
      <c r="A209" s="136">
        <f>A206+1</f>
        <v>165</v>
      </c>
      <c r="B209" s="133" t="s">
        <v>498</v>
      </c>
      <c r="C209" s="16" t="s">
        <v>12</v>
      </c>
      <c r="D209" s="40">
        <v>1013.33</v>
      </c>
      <c r="E209" s="40">
        <f t="shared" ref="E209:E213" si="52">ROUND(D209*0.2,2)</f>
        <v>202.67</v>
      </c>
      <c r="F209" s="40">
        <f t="shared" ref="F209:F213" si="53">SUM(D209:E209)</f>
        <v>1216</v>
      </c>
      <c r="G209" s="40"/>
      <c r="H209" s="331">
        <f>MROUND((D209*(1+Sheet1!$C$3)),0.1)</f>
        <v>1041.2</v>
      </c>
      <c r="I209" s="40">
        <f t="shared" ref="I209:I213" si="54">ROUND(H209*0.2,2)</f>
        <v>208.24</v>
      </c>
      <c r="J209" s="40">
        <f t="shared" ref="J209:J213" si="55">SUM(H209:I209)</f>
        <v>1249.44</v>
      </c>
      <c r="K209" s="9">
        <f>J209-F209</f>
        <v>33.440000000000055</v>
      </c>
      <c r="L209" s="8">
        <f>IF(F209="","NEW",K209/F209)</f>
        <v>2.7500000000000045E-2</v>
      </c>
    </row>
    <row r="210" spans="1:12" ht="15.5" x14ac:dyDescent="0.35">
      <c r="A210" s="136">
        <f>A209+1</f>
        <v>166</v>
      </c>
      <c r="B210" s="133" t="s">
        <v>499</v>
      </c>
      <c r="C210" s="16" t="s">
        <v>12</v>
      </c>
      <c r="D210" s="40">
        <v>1320</v>
      </c>
      <c r="E210" s="40">
        <f t="shared" si="52"/>
        <v>264</v>
      </c>
      <c r="F210" s="40">
        <f t="shared" si="53"/>
        <v>1584</v>
      </c>
      <c r="G210" s="40"/>
      <c r="H210" s="331">
        <f>MROUND((D210*(1+Sheet1!$C$3)),0.1)</f>
        <v>1356.3000000000002</v>
      </c>
      <c r="I210" s="40">
        <f t="shared" si="54"/>
        <v>271.26</v>
      </c>
      <c r="J210" s="40">
        <f t="shared" si="55"/>
        <v>1627.5600000000002</v>
      </c>
      <c r="K210" s="9">
        <f>J210-F210</f>
        <v>43.560000000000173</v>
      </c>
      <c r="L210" s="8">
        <f>IF(F210="","NEW",K210/F210)</f>
        <v>2.7500000000000108E-2</v>
      </c>
    </row>
    <row r="211" spans="1:12" ht="15.5" x14ac:dyDescent="0.35">
      <c r="A211" s="136">
        <f t="shared" ref="A211:A213" si="56">A210+1</f>
        <v>167</v>
      </c>
      <c r="B211" s="133" t="s">
        <v>500</v>
      </c>
      <c r="C211" s="16" t="s">
        <v>12</v>
      </c>
      <c r="D211" s="40">
        <v>1512.5</v>
      </c>
      <c r="E211" s="40">
        <f t="shared" si="52"/>
        <v>302.5</v>
      </c>
      <c r="F211" s="40">
        <f t="shared" si="53"/>
        <v>1815</v>
      </c>
      <c r="G211" s="40"/>
      <c r="H211" s="331">
        <f>MROUND((D211*(1+Sheet1!$C$3)),0.1)</f>
        <v>1554.1000000000001</v>
      </c>
      <c r="I211" s="40">
        <f t="shared" si="54"/>
        <v>310.82</v>
      </c>
      <c r="J211" s="40">
        <f t="shared" si="55"/>
        <v>1864.92</v>
      </c>
      <c r="K211" s="9">
        <f>J211-F211</f>
        <v>49.920000000000073</v>
      </c>
      <c r="L211" s="8">
        <f>IF(F211="","NEW",K211/F211)</f>
        <v>2.7504132231405E-2</v>
      </c>
    </row>
    <row r="212" spans="1:12" ht="15.5" x14ac:dyDescent="0.35">
      <c r="A212" s="136">
        <f t="shared" si="56"/>
        <v>168</v>
      </c>
      <c r="B212" s="133" t="s">
        <v>501</v>
      </c>
      <c r="C212" s="16" t="s">
        <v>12</v>
      </c>
      <c r="D212" s="40">
        <v>2099.17</v>
      </c>
      <c r="E212" s="40">
        <f t="shared" si="52"/>
        <v>419.83</v>
      </c>
      <c r="F212" s="40">
        <f t="shared" si="53"/>
        <v>2519</v>
      </c>
      <c r="G212" s="40"/>
      <c r="H212" s="331">
        <f>MROUND((D212*(1+Sheet1!$C$3)),0.1)</f>
        <v>2156.9</v>
      </c>
      <c r="I212" s="40">
        <f t="shared" si="54"/>
        <v>431.38</v>
      </c>
      <c r="J212" s="40">
        <f t="shared" si="55"/>
        <v>2588.2800000000002</v>
      </c>
      <c r="K212" s="9">
        <f>J212-F212</f>
        <v>69.2800000000002</v>
      </c>
      <c r="L212" s="8">
        <f>IF(F212="","NEW",K212/F212)</f>
        <v>2.7502977371973086E-2</v>
      </c>
    </row>
    <row r="213" spans="1:12" s="147" customFormat="1" ht="15.75" customHeight="1" x14ac:dyDescent="0.35">
      <c r="A213" s="136">
        <f t="shared" si="56"/>
        <v>169</v>
      </c>
      <c r="B213" s="133" t="s">
        <v>502</v>
      </c>
      <c r="C213" s="16" t="s">
        <v>12</v>
      </c>
      <c r="D213" s="40">
        <v>208.33</v>
      </c>
      <c r="E213" s="40">
        <f t="shared" si="52"/>
        <v>41.67</v>
      </c>
      <c r="F213" s="40">
        <f t="shared" si="53"/>
        <v>250</v>
      </c>
      <c r="G213" s="146"/>
      <c r="H213" s="331">
        <f>MROUND((D213*(1+Sheet1!$C$3)),0.1)</f>
        <v>214.10000000000002</v>
      </c>
      <c r="I213" s="40">
        <f t="shared" si="54"/>
        <v>42.82</v>
      </c>
      <c r="J213" s="40">
        <f t="shared" si="55"/>
        <v>256.92</v>
      </c>
      <c r="K213" s="9">
        <f>J213-F213</f>
        <v>6.9200000000000159</v>
      </c>
      <c r="L213" s="8">
        <f>IF(F213="","NEW",K213/F213)</f>
        <v>2.7680000000000062E-2</v>
      </c>
    </row>
    <row r="214" spans="1:12" s="147" customFormat="1" ht="15.75" customHeight="1" x14ac:dyDescent="0.35">
      <c r="A214" s="136"/>
      <c r="B214" s="133"/>
      <c r="C214" s="16"/>
      <c r="D214" s="40"/>
      <c r="E214" s="146"/>
      <c r="F214" s="40"/>
      <c r="G214" s="146"/>
      <c r="H214" s="40"/>
      <c r="I214" s="146"/>
      <c r="J214" s="40"/>
      <c r="K214" s="9"/>
      <c r="L214" s="8"/>
    </row>
    <row r="215" spans="1:12" ht="18.5" thickBot="1" x14ac:dyDescent="0.45">
      <c r="A215" s="136"/>
      <c r="B215" s="272" t="s">
        <v>503</v>
      </c>
      <c r="C215" s="16"/>
      <c r="D215" s="40"/>
      <c r="E215" s="40"/>
      <c r="F215" s="40"/>
      <c r="G215" s="40"/>
      <c r="H215" s="40"/>
      <c r="I215" s="40"/>
      <c r="J215" s="40"/>
      <c r="K215" s="9"/>
      <c r="L215" s="137"/>
    </row>
    <row r="216" spans="1:12" ht="31.5" thickTop="1" x14ac:dyDescent="0.35">
      <c r="A216" s="136">
        <f>A213+1</f>
        <v>170</v>
      </c>
      <c r="B216" s="133" t="s">
        <v>504</v>
      </c>
      <c r="C216" s="16" t="s">
        <v>12</v>
      </c>
      <c r="D216" s="40">
        <v>57.2</v>
      </c>
      <c r="E216" s="40"/>
      <c r="F216" s="40">
        <f>SUM(D216:E216)</f>
        <v>57.2</v>
      </c>
      <c r="G216" s="40"/>
      <c r="H216" s="331">
        <f>MROUND((D216*(1+Sheet1!$C$3)),0.1)+16.2</f>
        <v>75</v>
      </c>
      <c r="I216" s="40"/>
      <c r="J216" s="40">
        <f t="shared" ref="J216" si="57">SUM(H216:I216)</f>
        <v>75</v>
      </c>
      <c r="K216" s="9">
        <f>J216-F216</f>
        <v>17.799999999999997</v>
      </c>
      <c r="L216" s="8">
        <f>IF(F216="","NEW",K216/F216)</f>
        <v>0.31118881118881114</v>
      </c>
    </row>
    <row r="217" spans="1:12" ht="31" x14ac:dyDescent="0.35">
      <c r="A217" s="136">
        <f>A216+1</f>
        <v>171</v>
      </c>
      <c r="B217" s="133" t="s">
        <v>505</v>
      </c>
      <c r="C217" s="16" t="s">
        <v>12</v>
      </c>
      <c r="D217" s="40">
        <v>27.5</v>
      </c>
      <c r="E217" s="40"/>
      <c r="F217" s="40">
        <f t="shared" ref="F217" si="58">SUM(D217:E217)</f>
        <v>27.5</v>
      </c>
      <c r="G217" s="40"/>
      <c r="H217" s="331">
        <f>MROUND((D217*(1+Sheet1!$C$3)),0.1)+1.7</f>
        <v>30</v>
      </c>
      <c r="I217" s="40"/>
      <c r="J217" s="40">
        <f t="shared" ref="J217" si="59">SUM(H217:I217)</f>
        <v>30</v>
      </c>
      <c r="K217" s="9">
        <f t="shared" ref="K217" si="60">J217-F217</f>
        <v>2.5</v>
      </c>
      <c r="L217" s="8">
        <f t="shared" ref="L217" si="61">IF(F217="","NEW",K217/F217)</f>
        <v>9.0909090909090912E-2</v>
      </c>
    </row>
    <row r="218" spans="1:12" ht="15.5" x14ac:dyDescent="0.35">
      <c r="A218" s="136"/>
      <c r="B218" s="133"/>
      <c r="C218" s="16"/>
      <c r="D218" s="40"/>
      <c r="E218" s="40"/>
      <c r="F218" s="40"/>
      <c r="G218" s="40"/>
      <c r="H218" s="331"/>
      <c r="I218" s="40"/>
      <c r="J218" s="40"/>
      <c r="K218" s="9"/>
      <c r="L218" s="8"/>
    </row>
    <row r="219" spans="1:12" ht="17" thickBot="1" x14ac:dyDescent="0.4">
      <c r="A219" s="136"/>
      <c r="B219" s="271" t="s">
        <v>506</v>
      </c>
      <c r="C219" s="16"/>
      <c r="D219" s="40"/>
      <c r="E219" s="40"/>
      <c r="F219" s="40"/>
      <c r="G219" s="40"/>
      <c r="H219" s="40"/>
      <c r="I219" s="40"/>
      <c r="J219" s="40"/>
      <c r="K219" s="9"/>
      <c r="L219" s="8"/>
    </row>
    <row r="220" spans="1:12" s="142" customFormat="1" ht="15.5" x14ac:dyDescent="0.35">
      <c r="A220" s="136">
        <f>A217+1</f>
        <v>172</v>
      </c>
      <c r="B220" s="133" t="s">
        <v>507</v>
      </c>
      <c r="C220" s="16" t="s">
        <v>12</v>
      </c>
      <c r="D220" s="40">
        <v>123.2</v>
      </c>
      <c r="E220" s="40"/>
      <c r="F220" s="40">
        <f t="shared" ref="F220:F221" si="62">SUM(D220:E220)</f>
        <v>123.2</v>
      </c>
      <c r="G220" s="40"/>
      <c r="H220" s="331">
        <f>MROUND((D220*(1+Sheet1!$C$3)),1)</f>
        <v>127</v>
      </c>
      <c r="I220" s="40"/>
      <c r="J220" s="40">
        <f t="shared" ref="J220:J221" si="63">SUM(H220:I220)</f>
        <v>127</v>
      </c>
      <c r="K220" s="9">
        <f>J220-F220</f>
        <v>3.7999999999999972</v>
      </c>
      <c r="L220" s="8">
        <f>IF(F220="","NEW",K220/F220)</f>
        <v>3.084415584415582E-2</v>
      </c>
    </row>
    <row r="221" spans="1:12" s="142" customFormat="1" ht="15.5" x14ac:dyDescent="0.35">
      <c r="A221" s="136">
        <f>A220+1</f>
        <v>173</v>
      </c>
      <c r="B221" s="133" t="s">
        <v>508</v>
      </c>
      <c r="C221" s="16" t="s">
        <v>12</v>
      </c>
      <c r="D221" s="40">
        <v>56.1</v>
      </c>
      <c r="E221" s="40"/>
      <c r="F221" s="40">
        <f t="shared" si="62"/>
        <v>56.1</v>
      </c>
      <c r="G221" s="40"/>
      <c r="H221" s="331">
        <f>MROUND((D221*(1+Sheet1!$C$3)),1)</f>
        <v>58</v>
      </c>
      <c r="I221" s="40"/>
      <c r="J221" s="40">
        <f t="shared" si="63"/>
        <v>58</v>
      </c>
      <c r="K221" s="9">
        <f>J221-F221</f>
        <v>1.8999999999999986</v>
      </c>
      <c r="L221" s="8">
        <f>IF(F221="","NEW",K221/F221)</f>
        <v>3.3868092691622075E-2</v>
      </c>
    </row>
    <row r="222" spans="1:12" ht="15.5" x14ac:dyDescent="0.35">
      <c r="A222" s="136">
        <f t="shared" ref="A222:A225" si="64">A221+1</f>
        <v>174</v>
      </c>
      <c r="B222" s="133" t="s">
        <v>509</v>
      </c>
      <c r="C222" s="16" t="s">
        <v>12</v>
      </c>
      <c r="D222" s="40"/>
      <c r="E222" s="40"/>
      <c r="F222" s="40"/>
      <c r="G222" s="40"/>
      <c r="H222" s="40"/>
      <c r="I222" s="40"/>
      <c r="J222" s="40"/>
      <c r="K222" s="9"/>
      <c r="L222" s="8"/>
    </row>
    <row r="223" spans="1:12" ht="15.5" x14ac:dyDescent="0.35">
      <c r="A223" s="136">
        <f t="shared" si="64"/>
        <v>175</v>
      </c>
      <c r="B223" s="133" t="s">
        <v>510</v>
      </c>
      <c r="C223" s="16" t="s">
        <v>12</v>
      </c>
      <c r="D223" s="40">
        <v>11</v>
      </c>
      <c r="E223" s="40"/>
      <c r="F223" s="40">
        <f>SUM(D223:E223)</f>
        <v>11</v>
      </c>
      <c r="G223" s="40"/>
      <c r="H223" s="331">
        <f>MROUND((D223*(1+Sheet1!$C$3)),0.5)</f>
        <v>11.5</v>
      </c>
      <c r="I223" s="40"/>
      <c r="J223" s="40">
        <f t="shared" ref="J223:J225" si="65">SUM(H223:I223)</f>
        <v>11.5</v>
      </c>
      <c r="K223" s="9">
        <f>J223-F223</f>
        <v>0.5</v>
      </c>
      <c r="L223" s="8">
        <f>IF(F223="","NEW",K223/F223)</f>
        <v>4.5454545454545456E-2</v>
      </c>
    </row>
    <row r="224" spans="1:12" ht="15.5" x14ac:dyDescent="0.35">
      <c r="A224" s="136">
        <f t="shared" si="64"/>
        <v>176</v>
      </c>
      <c r="B224" s="133" t="s">
        <v>511</v>
      </c>
      <c r="C224" s="16" t="s">
        <v>12</v>
      </c>
      <c r="D224" s="40">
        <v>16.5</v>
      </c>
      <c r="E224" s="40"/>
      <c r="F224" s="40">
        <f>SUM(D224:E224)</f>
        <v>16.5</v>
      </c>
      <c r="G224" s="40"/>
      <c r="H224" s="331">
        <f>MROUND((D224*(1+Sheet1!$C$3)),1)</f>
        <v>17</v>
      </c>
      <c r="I224" s="40"/>
      <c r="J224" s="40">
        <f t="shared" si="65"/>
        <v>17</v>
      </c>
      <c r="K224" s="9">
        <f>J224-F224</f>
        <v>0.5</v>
      </c>
      <c r="L224" s="8">
        <f>IF(F224="","NEW",K224/F224)</f>
        <v>3.0303030303030304E-2</v>
      </c>
    </row>
    <row r="225" spans="1:12" ht="15.5" x14ac:dyDescent="0.35">
      <c r="A225" s="136">
        <f t="shared" si="64"/>
        <v>177</v>
      </c>
      <c r="B225" s="133" t="s">
        <v>512</v>
      </c>
      <c r="C225" s="16" t="s">
        <v>12</v>
      </c>
      <c r="D225" s="40">
        <v>22</v>
      </c>
      <c r="E225" s="40"/>
      <c r="F225" s="40">
        <f>SUM(D225:E225)</f>
        <v>22</v>
      </c>
      <c r="G225" s="40"/>
      <c r="H225" s="331">
        <f>MROUND((D225*(1+Sheet1!$C$3)),1)</f>
        <v>23</v>
      </c>
      <c r="I225" s="40"/>
      <c r="J225" s="40">
        <f t="shared" si="65"/>
        <v>23</v>
      </c>
      <c r="K225" s="9">
        <f>J225-F225</f>
        <v>1</v>
      </c>
      <c r="L225" s="8">
        <f>IF(F225="","NEW",K225/F225)</f>
        <v>4.5454545454545456E-2</v>
      </c>
    </row>
    <row r="226" spans="1:12" ht="15.5" x14ac:dyDescent="0.35">
      <c r="A226" s="136"/>
      <c r="B226" s="133"/>
      <c r="C226" s="16"/>
      <c r="D226" s="40"/>
      <c r="E226" s="40"/>
      <c r="F226" s="40"/>
      <c r="G226" s="40"/>
      <c r="H226" s="40"/>
      <c r="I226" s="40"/>
      <c r="J226" s="40"/>
      <c r="K226" s="9"/>
      <c r="L226" s="8"/>
    </row>
    <row r="227" spans="1:12" ht="18.5" thickBot="1" x14ac:dyDescent="0.45">
      <c r="A227" s="136"/>
      <c r="B227" s="272" t="s">
        <v>513</v>
      </c>
      <c r="C227" s="16"/>
      <c r="D227" s="40"/>
      <c r="E227" s="40"/>
      <c r="F227" s="40"/>
      <c r="G227" s="40"/>
      <c r="H227" s="40"/>
      <c r="I227" s="40"/>
      <c r="J227" s="40"/>
      <c r="K227" s="9"/>
      <c r="L227" s="137"/>
    </row>
    <row r="228" spans="1:12" ht="16" thickTop="1" x14ac:dyDescent="0.35">
      <c r="A228" s="136">
        <f>+A225+1</f>
        <v>178</v>
      </c>
      <c r="B228" s="133" t="s">
        <v>514</v>
      </c>
      <c r="C228" s="16" t="s">
        <v>12</v>
      </c>
      <c r="D228" s="40">
        <v>6.25</v>
      </c>
      <c r="E228" s="40">
        <f t="shared" ref="E228:E230" si="66">ROUND(D228*0.2,2)</f>
        <v>1.25</v>
      </c>
      <c r="F228" s="40">
        <f t="shared" ref="F228:F230" si="67">SUM(D228:E228)</f>
        <v>7.5</v>
      </c>
      <c r="G228" s="40"/>
      <c r="H228" s="331">
        <f>MROUND((D228*(1+Sheet1!$C$3)),0.1)</f>
        <v>6.4</v>
      </c>
      <c r="I228" s="40">
        <f t="shared" ref="I228:I232" si="68">ROUND(H228*0.2,2)</f>
        <v>1.28</v>
      </c>
      <c r="J228" s="40">
        <f t="shared" ref="J228:J232" si="69">SUM(H228:I228)</f>
        <v>7.6800000000000006</v>
      </c>
      <c r="K228" s="9">
        <f t="shared" ref="K228:K232" si="70">J228-F228</f>
        <v>0.1800000000000006</v>
      </c>
      <c r="L228" s="8">
        <f t="shared" ref="L228:L232" si="71">IF(F228="","NEW",K228/F228)</f>
        <v>2.400000000000008E-2</v>
      </c>
    </row>
    <row r="229" spans="1:12" ht="15.5" x14ac:dyDescent="0.35">
      <c r="A229" s="136">
        <f t="shared" ref="A229:A233" si="72">+A228+1</f>
        <v>179</v>
      </c>
      <c r="B229" s="133" t="s">
        <v>515</v>
      </c>
      <c r="C229" s="16" t="s">
        <v>12</v>
      </c>
      <c r="D229" s="40">
        <v>4.25</v>
      </c>
      <c r="E229" s="40">
        <f t="shared" si="66"/>
        <v>0.85</v>
      </c>
      <c r="F229" s="40">
        <f t="shared" si="67"/>
        <v>5.0999999999999996</v>
      </c>
      <c r="G229" s="40"/>
      <c r="H229" s="331">
        <f>MROUND((D229*(1+Sheet1!$C$3)),0.1)</f>
        <v>4.4000000000000004</v>
      </c>
      <c r="I229" s="40">
        <f t="shared" si="68"/>
        <v>0.88</v>
      </c>
      <c r="J229" s="40">
        <f t="shared" si="69"/>
        <v>5.28</v>
      </c>
      <c r="K229" s="9">
        <f t="shared" si="70"/>
        <v>0.1800000000000006</v>
      </c>
      <c r="L229" s="8">
        <f t="shared" si="71"/>
        <v>3.5294117647058941E-2</v>
      </c>
    </row>
    <row r="230" spans="1:12" s="142" customFormat="1" ht="15.5" x14ac:dyDescent="0.35">
      <c r="A230" s="37">
        <f t="shared" si="72"/>
        <v>180</v>
      </c>
      <c r="B230" s="133" t="s">
        <v>516</v>
      </c>
      <c r="C230" s="16" t="s">
        <v>12</v>
      </c>
      <c r="D230" s="40">
        <v>19.25</v>
      </c>
      <c r="E230" s="40">
        <f t="shared" si="66"/>
        <v>3.85</v>
      </c>
      <c r="F230" s="40">
        <f t="shared" si="67"/>
        <v>23.1</v>
      </c>
      <c r="G230" s="40"/>
      <c r="H230" s="331">
        <f>MROUND((D230*(1+Sheet1!$C$3)),0.1)</f>
        <v>19.8</v>
      </c>
      <c r="I230" s="40">
        <f t="shared" si="68"/>
        <v>3.96</v>
      </c>
      <c r="J230" s="40">
        <f t="shared" si="69"/>
        <v>23.76</v>
      </c>
      <c r="K230" s="9">
        <f t="shared" si="70"/>
        <v>0.66000000000000014</v>
      </c>
      <c r="L230" s="8">
        <f t="shared" si="71"/>
        <v>2.8571428571428577E-2</v>
      </c>
    </row>
    <row r="231" spans="1:12" s="142" customFormat="1" ht="15.5" x14ac:dyDescent="0.35">
      <c r="A231" s="37">
        <f t="shared" si="72"/>
        <v>181</v>
      </c>
      <c r="B231" s="133" t="s">
        <v>517</v>
      </c>
      <c r="C231" s="16" t="s">
        <v>12</v>
      </c>
      <c r="D231" s="40">
        <v>53.33</v>
      </c>
      <c r="E231" s="40">
        <f t="shared" ref="E231:E232" si="73">ROUND(D231*0.2,2)</f>
        <v>10.67</v>
      </c>
      <c r="F231" s="40">
        <f t="shared" ref="F231:F232" si="74">SUM(D231:E231)</f>
        <v>64</v>
      </c>
      <c r="G231" s="40"/>
      <c r="H231" s="331">
        <f>MROUND((D231*(1+Sheet1!$C$3)),0.1)</f>
        <v>54.800000000000004</v>
      </c>
      <c r="I231" s="40">
        <f t="shared" si="68"/>
        <v>10.96</v>
      </c>
      <c r="J231" s="40">
        <f t="shared" si="69"/>
        <v>65.760000000000005</v>
      </c>
      <c r="K231" s="9">
        <f t="shared" si="70"/>
        <v>1.7600000000000051</v>
      </c>
      <c r="L231" s="8">
        <f t="shared" si="71"/>
        <v>2.750000000000008E-2</v>
      </c>
    </row>
    <row r="232" spans="1:12" ht="15.5" x14ac:dyDescent="0.35">
      <c r="A232" s="37">
        <f t="shared" si="72"/>
        <v>182</v>
      </c>
      <c r="B232" s="133" t="s">
        <v>518</v>
      </c>
      <c r="C232" s="16" t="s">
        <v>12</v>
      </c>
      <c r="D232" s="40">
        <v>32.5</v>
      </c>
      <c r="E232" s="40">
        <f t="shared" si="73"/>
        <v>6.5</v>
      </c>
      <c r="F232" s="40">
        <f t="shared" si="74"/>
        <v>39</v>
      </c>
      <c r="G232" s="40"/>
      <c r="H232" s="331">
        <f>MROUND((D232*(1+Sheet1!$C$3)),0.1)</f>
        <v>33.4</v>
      </c>
      <c r="I232" s="40">
        <f t="shared" si="68"/>
        <v>6.68</v>
      </c>
      <c r="J232" s="40">
        <f t="shared" si="69"/>
        <v>40.08</v>
      </c>
      <c r="K232" s="9">
        <f t="shared" si="70"/>
        <v>1.0799999999999983</v>
      </c>
      <c r="L232" s="8">
        <f t="shared" si="71"/>
        <v>2.7692307692307648E-2</v>
      </c>
    </row>
    <row r="233" spans="1:12" ht="15.5" x14ac:dyDescent="0.35">
      <c r="A233" s="37">
        <f t="shared" si="72"/>
        <v>183</v>
      </c>
      <c r="B233" s="133" t="s">
        <v>519</v>
      </c>
      <c r="C233" s="16" t="s">
        <v>12</v>
      </c>
      <c r="D233" s="581" t="s">
        <v>520</v>
      </c>
      <c r="E233" s="582"/>
      <c r="F233" s="583"/>
      <c r="G233" s="149"/>
      <c r="H233" s="581" t="s">
        <v>520</v>
      </c>
      <c r="I233" s="582"/>
      <c r="J233" s="583"/>
      <c r="K233" s="9"/>
      <c r="L233" s="8"/>
    </row>
    <row r="234" spans="1:12" s="142" customFormat="1" ht="15.5" x14ac:dyDescent="0.35">
      <c r="A234" s="136" t="s">
        <v>421</v>
      </c>
      <c r="B234" s="133"/>
      <c r="C234" s="16"/>
      <c r="D234" s="40"/>
      <c r="E234" s="40"/>
      <c r="F234" s="40"/>
      <c r="G234" s="40"/>
      <c r="H234" s="149"/>
      <c r="I234" s="149"/>
      <c r="J234" s="149"/>
      <c r="K234" s="9"/>
      <c r="L234" s="8"/>
    </row>
    <row r="235" spans="1:12" s="142" customFormat="1" ht="18.5" thickBot="1" x14ac:dyDescent="0.45">
      <c r="A235" s="150"/>
      <c r="B235" s="272" t="s">
        <v>521</v>
      </c>
      <c r="C235" s="16"/>
      <c r="D235" s="40"/>
      <c r="E235" s="40"/>
      <c r="F235" s="40"/>
      <c r="G235" s="40"/>
      <c r="H235" s="40"/>
      <c r="I235" s="40"/>
      <c r="J235" s="40"/>
      <c r="K235" s="9"/>
      <c r="L235" s="137"/>
    </row>
    <row r="236" spans="1:12" ht="15" customHeight="1" thickTop="1" x14ac:dyDescent="0.35">
      <c r="A236" s="136">
        <f>A233+1</f>
        <v>184</v>
      </c>
      <c r="B236" s="133" t="s">
        <v>522</v>
      </c>
      <c r="C236" s="16" t="s">
        <v>12</v>
      </c>
      <c r="D236" s="584" t="s">
        <v>103</v>
      </c>
      <c r="E236" s="585"/>
      <c r="F236" s="586"/>
      <c r="G236" s="151"/>
      <c r="H236" s="584" t="s">
        <v>103</v>
      </c>
      <c r="I236" s="585"/>
      <c r="J236" s="586"/>
      <c r="K236" s="9"/>
      <c r="L236" s="8"/>
    </row>
    <row r="237" spans="1:12" ht="15.5" x14ac:dyDescent="0.35">
      <c r="A237" s="136">
        <f>A236+1</f>
        <v>185</v>
      </c>
      <c r="B237" s="133" t="s">
        <v>523</v>
      </c>
      <c r="C237" s="16" t="s">
        <v>12</v>
      </c>
      <c r="D237" s="581" t="s">
        <v>520</v>
      </c>
      <c r="E237" s="582"/>
      <c r="F237" s="583"/>
      <c r="G237" s="149"/>
      <c r="H237" s="581" t="s">
        <v>520</v>
      </c>
      <c r="I237" s="582"/>
      <c r="J237" s="583"/>
      <c r="K237" s="9"/>
      <c r="L237" s="8"/>
    </row>
    <row r="238" spans="1:12" ht="15.5" x14ac:dyDescent="0.35">
      <c r="A238" s="136">
        <f>A237+1</f>
        <v>186</v>
      </c>
      <c r="B238" s="133" t="s">
        <v>524</v>
      </c>
      <c r="C238" s="16" t="s">
        <v>12</v>
      </c>
      <c r="D238" s="40">
        <v>73</v>
      </c>
      <c r="E238" s="40">
        <f>ROUND(D238*0.2,2)</f>
        <v>14.6</v>
      </c>
      <c r="F238" s="40">
        <f>SUM(D238:E238)</f>
        <v>87.6</v>
      </c>
      <c r="G238" s="149"/>
      <c r="H238" s="331">
        <f>MROUND((D238*(1+Sheet1!$C$3)),0.1)</f>
        <v>75</v>
      </c>
      <c r="I238" s="40">
        <f>ROUND(H238*0.2,2)</f>
        <v>15</v>
      </c>
      <c r="J238" s="40">
        <f t="shared" ref="J238" si="75">SUM(H238:I238)</f>
        <v>90</v>
      </c>
      <c r="K238" s="9">
        <f>J238-F238</f>
        <v>2.4000000000000057</v>
      </c>
      <c r="L238" s="8">
        <f>IF(F238="","NEW",K238/F238)</f>
        <v>2.7397260273972671E-2</v>
      </c>
    </row>
    <row r="239" spans="1:12" ht="15.5" x14ac:dyDescent="0.35">
      <c r="A239" s="136">
        <f t="shared" ref="A239:A240" si="76">A238+1</f>
        <v>187</v>
      </c>
      <c r="B239" s="133" t="s">
        <v>525</v>
      </c>
      <c r="C239" s="16" t="s">
        <v>12</v>
      </c>
      <c r="D239" s="152">
        <v>175</v>
      </c>
      <c r="E239" s="319"/>
      <c r="F239" s="40">
        <f>SUM(D239:E239)</f>
        <v>175</v>
      </c>
      <c r="G239" s="149"/>
      <c r="H239" s="331">
        <f>MROUND((D239*(1+Sheet1!$C$3)),0.1)</f>
        <v>179.8</v>
      </c>
      <c r="I239" s="319"/>
      <c r="J239" s="40">
        <f t="shared" ref="J239" si="77">SUM(H239:I239)</f>
        <v>179.8</v>
      </c>
      <c r="K239" s="9">
        <f>J239-F239</f>
        <v>4.8000000000000114</v>
      </c>
      <c r="L239" s="8">
        <f>IF(F239="","NEW",K239/F239)</f>
        <v>2.7428571428571493E-2</v>
      </c>
    </row>
    <row r="240" spans="1:12" ht="15.5" x14ac:dyDescent="0.35">
      <c r="A240" s="136">
        <f t="shared" si="76"/>
        <v>188</v>
      </c>
      <c r="B240" s="133" t="s">
        <v>526</v>
      </c>
      <c r="C240" s="16" t="s">
        <v>12</v>
      </c>
      <c r="D240" s="581" t="s">
        <v>527</v>
      </c>
      <c r="E240" s="582"/>
      <c r="F240" s="583"/>
      <c r="G240" s="149"/>
      <c r="H240" s="581" t="s">
        <v>527</v>
      </c>
      <c r="I240" s="582"/>
      <c r="J240" s="583"/>
      <c r="K240" s="9"/>
      <c r="L240" s="8"/>
    </row>
    <row r="241" spans="1:12" ht="15.75" customHeight="1" x14ac:dyDescent="0.35">
      <c r="A241" s="136"/>
      <c r="B241" s="133"/>
      <c r="C241" s="16"/>
      <c r="D241" s="149"/>
      <c r="E241" s="149"/>
      <c r="F241" s="149"/>
      <c r="G241" s="149"/>
      <c r="H241" s="149"/>
      <c r="I241" s="40"/>
      <c r="J241" s="149"/>
      <c r="K241" s="9"/>
      <c r="L241" s="8"/>
    </row>
    <row r="242" spans="1:12" ht="18.5" thickBot="1" x14ac:dyDescent="0.4">
      <c r="A242" s="136"/>
      <c r="B242" s="259" t="s">
        <v>528</v>
      </c>
      <c r="C242" s="16"/>
      <c r="D242" s="149"/>
      <c r="E242" s="149"/>
      <c r="F242" s="40"/>
      <c r="G242" s="149"/>
      <c r="H242" s="149"/>
      <c r="I242" s="149"/>
      <c r="J242" s="40"/>
      <c r="K242" s="9"/>
      <c r="L242" s="8"/>
    </row>
    <row r="243" spans="1:12" ht="16" thickTop="1" x14ac:dyDescent="0.35">
      <c r="A243" s="136">
        <f>+A240+1</f>
        <v>189</v>
      </c>
      <c r="B243" s="133" t="s">
        <v>529</v>
      </c>
      <c r="C243" s="16" t="s">
        <v>12</v>
      </c>
      <c r="D243" s="40">
        <v>143</v>
      </c>
      <c r="E243" s="146"/>
      <c r="F243" s="40">
        <f>SUM(D243:E243)</f>
        <v>143</v>
      </c>
      <c r="G243" s="146"/>
      <c r="H243" s="331">
        <f>MROUND((D243*(1+Sheet1!$C$3)),0.1)</f>
        <v>146.9</v>
      </c>
      <c r="I243" s="40"/>
      <c r="J243" s="40">
        <f t="shared" ref="J243:J247" si="78">SUM(H243:I243)</f>
        <v>146.9</v>
      </c>
      <c r="K243" s="9">
        <f>J243-F243</f>
        <v>3.9000000000000057</v>
      </c>
      <c r="L243" s="8">
        <f>IF(F243="","NEW",K243/F243)</f>
        <v>2.7272727272727313E-2</v>
      </c>
    </row>
    <row r="244" spans="1:12" ht="15.5" x14ac:dyDescent="0.35">
      <c r="A244" s="136">
        <f>+A243+1</f>
        <v>190</v>
      </c>
      <c r="B244" s="133" t="s">
        <v>530</v>
      </c>
      <c r="C244" s="16" t="s">
        <v>12</v>
      </c>
      <c r="D244" s="40">
        <v>79</v>
      </c>
      <c r="E244" s="146"/>
      <c r="F244" s="40">
        <f>SUM(D244:E244)</f>
        <v>79</v>
      </c>
      <c r="G244" s="146"/>
      <c r="H244" s="331">
        <f>MROUND((D244*(1+Sheet1!$C$3)),0.1)</f>
        <v>81.2</v>
      </c>
      <c r="I244" s="40"/>
      <c r="J244" s="40">
        <f t="shared" si="78"/>
        <v>81.2</v>
      </c>
      <c r="K244" s="9">
        <f>J244-F244</f>
        <v>2.2000000000000028</v>
      </c>
      <c r="L244" s="8">
        <f>IF(F244="","NEW",K244/F244)</f>
        <v>2.7848101265822822E-2</v>
      </c>
    </row>
    <row r="245" spans="1:12" ht="15.5" x14ac:dyDescent="0.35">
      <c r="A245" s="136">
        <f t="shared" ref="A245:A252" si="79">+A244+1</f>
        <v>191</v>
      </c>
      <c r="B245" s="133" t="s">
        <v>531</v>
      </c>
      <c r="C245" s="16"/>
      <c r="D245" s="40">
        <v>165</v>
      </c>
      <c r="E245" s="146"/>
      <c r="F245" s="40">
        <f t="shared" ref="F245:F246" si="80">SUM(D245:E245)</f>
        <v>165</v>
      </c>
      <c r="G245" s="146"/>
      <c r="H245" s="331">
        <f>MROUND((D245*(1+Sheet1!$C$3)),0.1)</f>
        <v>169.5</v>
      </c>
      <c r="I245" s="40"/>
      <c r="J245" s="40">
        <f t="shared" ref="J245:J246" si="81">SUM(H245:I245)</f>
        <v>169.5</v>
      </c>
      <c r="K245" s="9">
        <f t="shared" ref="K245:K246" si="82">J245-F245</f>
        <v>4.5</v>
      </c>
      <c r="L245" s="8">
        <f t="shared" ref="L245" si="83">IF(F245="","NEW",K245/F245)</f>
        <v>2.7272727272727271E-2</v>
      </c>
    </row>
    <row r="246" spans="1:12" ht="15.5" x14ac:dyDescent="0.35">
      <c r="A246" s="136">
        <f t="shared" si="79"/>
        <v>192</v>
      </c>
      <c r="B246" s="133" t="s">
        <v>532</v>
      </c>
      <c r="C246" s="16"/>
      <c r="D246" s="40" t="s">
        <v>533</v>
      </c>
      <c r="E246" s="146"/>
      <c r="F246" s="40">
        <f t="shared" si="80"/>
        <v>0</v>
      </c>
      <c r="G246" s="146"/>
      <c r="H246" s="40" t="s">
        <v>533</v>
      </c>
      <c r="I246" s="40"/>
      <c r="J246" s="40">
        <f t="shared" si="81"/>
        <v>0</v>
      </c>
      <c r="K246" s="9">
        <f t="shared" si="82"/>
        <v>0</v>
      </c>
      <c r="L246" s="8" t="s">
        <v>1493</v>
      </c>
    </row>
    <row r="247" spans="1:12" s="142" customFormat="1" ht="15.5" x14ac:dyDescent="0.35">
      <c r="A247" s="136">
        <f t="shared" si="79"/>
        <v>193</v>
      </c>
      <c r="B247" s="133" t="s">
        <v>534</v>
      </c>
      <c r="C247" s="16" t="s">
        <v>12</v>
      </c>
      <c r="D247" s="40">
        <v>193</v>
      </c>
      <c r="E247" s="40"/>
      <c r="F247" s="40">
        <f>SUM(D247:E247)</f>
        <v>193</v>
      </c>
      <c r="G247" s="40"/>
      <c r="H247" s="331">
        <f>MROUND((D247*(1+Sheet1!$C$3)),0.1)</f>
        <v>198.3</v>
      </c>
      <c r="I247" s="40"/>
      <c r="J247" s="40">
        <f t="shared" si="78"/>
        <v>198.3</v>
      </c>
      <c r="K247" s="9">
        <f>J247-F247</f>
        <v>5.3000000000000114</v>
      </c>
      <c r="L247" s="8">
        <f>IF(F247="","NEW",K247/F247)</f>
        <v>2.7461139896373117E-2</v>
      </c>
    </row>
    <row r="248" spans="1:12" s="142" customFormat="1" ht="15" customHeight="1" x14ac:dyDescent="0.35">
      <c r="A248" s="136">
        <f t="shared" si="79"/>
        <v>194</v>
      </c>
      <c r="B248" s="133" t="s">
        <v>535</v>
      </c>
      <c r="C248" s="16" t="s">
        <v>12</v>
      </c>
      <c r="D248" s="584" t="s">
        <v>536</v>
      </c>
      <c r="E248" s="585"/>
      <c r="F248" s="586"/>
      <c r="G248" s="149"/>
      <c r="H248" s="584" t="s">
        <v>536</v>
      </c>
      <c r="I248" s="585"/>
      <c r="J248" s="586"/>
      <c r="K248" s="9"/>
      <c r="L248" s="8"/>
    </row>
    <row r="249" spans="1:12" s="142" customFormat="1" ht="15" customHeight="1" x14ac:dyDescent="0.35">
      <c r="A249" s="136">
        <f t="shared" si="79"/>
        <v>195</v>
      </c>
      <c r="B249" s="133" t="s">
        <v>537</v>
      </c>
      <c r="C249" s="16" t="s">
        <v>12</v>
      </c>
      <c r="D249" s="40">
        <v>237</v>
      </c>
      <c r="E249" s="146"/>
      <c r="F249" s="40">
        <f>SUM(D249:E249)</f>
        <v>237</v>
      </c>
      <c r="G249" s="40"/>
      <c r="H249" s="331">
        <f>MROUND((D249*(1+Sheet1!$C$3)),0.1)</f>
        <v>243.5</v>
      </c>
      <c r="I249" s="40"/>
      <c r="J249" s="40">
        <f t="shared" ref="J249:J251" si="84">SUM(H249:I249)</f>
        <v>243.5</v>
      </c>
      <c r="K249" s="9">
        <f>J249-F249</f>
        <v>6.5</v>
      </c>
      <c r="L249" s="8">
        <f>IF(F249="","NEW",K249/F249)</f>
        <v>2.7426160337552744E-2</v>
      </c>
    </row>
    <row r="250" spans="1:12" s="142" customFormat="1" ht="15" customHeight="1" x14ac:dyDescent="0.35">
      <c r="A250" s="136">
        <f t="shared" si="79"/>
        <v>196</v>
      </c>
      <c r="B250" s="133" t="s">
        <v>538</v>
      </c>
      <c r="C250" s="16"/>
      <c r="D250" s="40"/>
      <c r="E250" s="146"/>
      <c r="F250" s="40"/>
      <c r="G250" s="40"/>
      <c r="H250" s="40"/>
      <c r="I250" s="40"/>
      <c r="J250" s="40"/>
      <c r="K250" s="9"/>
      <c r="L250" s="8"/>
    </row>
    <row r="251" spans="1:12" s="142" customFormat="1" ht="15" customHeight="1" x14ac:dyDescent="0.35">
      <c r="A251" s="136">
        <f t="shared" si="79"/>
        <v>197</v>
      </c>
      <c r="B251" s="133" t="s">
        <v>539</v>
      </c>
      <c r="C251" s="16" t="s">
        <v>12</v>
      </c>
      <c r="D251" s="40">
        <v>220</v>
      </c>
      <c r="E251" s="146"/>
      <c r="F251" s="40">
        <f>SUM(D251:E251)</f>
        <v>220</v>
      </c>
      <c r="G251" s="40"/>
      <c r="H251" s="331">
        <f>MROUND((D251*(1+Sheet1!$C$3)),0.1)</f>
        <v>226.10000000000002</v>
      </c>
      <c r="I251" s="40"/>
      <c r="J251" s="40">
        <f t="shared" si="84"/>
        <v>226.10000000000002</v>
      </c>
      <c r="K251" s="9">
        <f>J251-F251</f>
        <v>6.1000000000000227</v>
      </c>
      <c r="L251" s="8">
        <f>IF(F251="","NEW",K251/F251)</f>
        <v>2.7727272727272829E-2</v>
      </c>
    </row>
    <row r="252" spans="1:12" s="142" customFormat="1" ht="15" customHeight="1" x14ac:dyDescent="0.35">
      <c r="A252" s="136">
        <f t="shared" si="79"/>
        <v>198</v>
      </c>
      <c r="B252" s="133" t="s">
        <v>540</v>
      </c>
      <c r="C252" s="16" t="s">
        <v>12</v>
      </c>
      <c r="D252" s="40">
        <v>5.5</v>
      </c>
      <c r="E252" s="146"/>
      <c r="F252" s="40">
        <f>SUM(D252:E252)</f>
        <v>5.5</v>
      </c>
      <c r="G252" s="40"/>
      <c r="H252" s="331">
        <f>MROUND((D252*(1+Sheet1!$C$3)),0.1)</f>
        <v>5.7</v>
      </c>
      <c r="I252" s="40"/>
      <c r="J252" s="40">
        <f t="shared" ref="J252" si="85">SUM(H252:I252)</f>
        <v>5.7</v>
      </c>
      <c r="K252" s="9">
        <f>J252-F252</f>
        <v>0.20000000000000018</v>
      </c>
      <c r="L252" s="8">
        <f>IF(F252="","NEW",K252/F252)</f>
        <v>3.6363636363636397E-2</v>
      </c>
    </row>
    <row r="253" spans="1:12" s="142" customFormat="1" ht="15" customHeight="1" x14ac:dyDescent="0.35">
      <c r="A253" s="136"/>
      <c r="B253" s="133"/>
      <c r="C253" s="16"/>
      <c r="D253" s="40"/>
      <c r="E253" s="146"/>
      <c r="F253" s="40"/>
      <c r="G253" s="40"/>
      <c r="H253" s="40"/>
      <c r="I253" s="40"/>
      <c r="J253" s="40"/>
      <c r="K253" s="9"/>
      <c r="L253" s="8"/>
    </row>
    <row r="254" spans="1:12" ht="18.5" thickBot="1" x14ac:dyDescent="0.4">
      <c r="A254" s="136"/>
      <c r="B254" s="259" t="s">
        <v>541</v>
      </c>
      <c r="C254" s="16"/>
      <c r="D254" s="40"/>
      <c r="E254" s="146"/>
      <c r="F254" s="40"/>
      <c r="G254" s="40"/>
      <c r="H254" s="40"/>
      <c r="I254" s="146"/>
      <c r="J254" s="40"/>
      <c r="K254" s="9"/>
      <c r="L254" s="8"/>
    </row>
    <row r="255" spans="1:12" ht="16" thickTop="1" x14ac:dyDescent="0.35">
      <c r="A255" s="136">
        <f>+A252+1</f>
        <v>199</v>
      </c>
      <c r="B255" s="133" t="s">
        <v>542</v>
      </c>
      <c r="C255" s="16" t="s">
        <v>12</v>
      </c>
      <c r="D255" s="40">
        <v>81.400000000000006</v>
      </c>
      <c r="E255" s="146"/>
      <c r="F255" s="40">
        <f t="shared" ref="F255:F259" si="86">SUM(D255:E255)</f>
        <v>81.400000000000006</v>
      </c>
      <c r="G255" s="40"/>
      <c r="H255" s="331">
        <f>MROUND((D255*(1+Sheet1!$C$3)),0.1)</f>
        <v>83.600000000000009</v>
      </c>
      <c r="I255" s="40"/>
      <c r="J255" s="40">
        <f t="shared" ref="J255:J259" si="87">SUM(H255:I255)</f>
        <v>83.600000000000009</v>
      </c>
      <c r="K255" s="9">
        <f t="shared" ref="K255:K259" si="88">J255-F255</f>
        <v>2.2000000000000028</v>
      </c>
      <c r="L255" s="8">
        <f t="shared" ref="L255:L259" si="89">IF(F255="","NEW",K255/F255)</f>
        <v>2.702702702702706E-2</v>
      </c>
    </row>
    <row r="256" spans="1:12" ht="15.5" x14ac:dyDescent="0.35">
      <c r="A256" s="136">
        <f>+A255+1</f>
        <v>200</v>
      </c>
      <c r="B256" s="133" t="s">
        <v>543</v>
      </c>
      <c r="C256" s="16" t="s">
        <v>12</v>
      </c>
      <c r="D256" s="40">
        <v>40.700000000000003</v>
      </c>
      <c r="E256" s="146"/>
      <c r="F256" s="40">
        <f t="shared" si="86"/>
        <v>40.700000000000003</v>
      </c>
      <c r="G256" s="40"/>
      <c r="H256" s="331">
        <f>MROUND((D256*(1+Sheet1!$C$3)),0.1)</f>
        <v>41.800000000000004</v>
      </c>
      <c r="I256" s="40"/>
      <c r="J256" s="40">
        <f t="shared" si="87"/>
        <v>41.800000000000004</v>
      </c>
      <c r="K256" s="9">
        <f t="shared" si="88"/>
        <v>1.1000000000000014</v>
      </c>
      <c r="L256" s="8">
        <f t="shared" si="89"/>
        <v>2.702702702702706E-2</v>
      </c>
    </row>
    <row r="257" spans="1:12" ht="15.5" x14ac:dyDescent="0.35">
      <c r="A257" s="136">
        <f>+A256+1</f>
        <v>201</v>
      </c>
      <c r="B257" s="133" t="s">
        <v>544</v>
      </c>
      <c r="C257" s="16" t="s">
        <v>12</v>
      </c>
      <c r="D257" s="40">
        <v>40.700000000000003</v>
      </c>
      <c r="E257" s="146"/>
      <c r="F257" s="40">
        <f t="shared" si="86"/>
        <v>40.700000000000003</v>
      </c>
      <c r="G257" s="40"/>
      <c r="H257" s="331">
        <f>MROUND((D257*(1+Sheet1!$C$3)),0.1)</f>
        <v>41.800000000000004</v>
      </c>
      <c r="I257" s="40"/>
      <c r="J257" s="40">
        <f t="shared" si="87"/>
        <v>41.800000000000004</v>
      </c>
      <c r="K257" s="9">
        <f t="shared" si="88"/>
        <v>1.1000000000000014</v>
      </c>
      <c r="L257" s="8">
        <f t="shared" si="89"/>
        <v>2.702702702702706E-2</v>
      </c>
    </row>
    <row r="258" spans="1:12" ht="15.5" x14ac:dyDescent="0.35">
      <c r="A258" s="136">
        <f t="shared" ref="A258:A259" si="90">+A257+1</f>
        <v>202</v>
      </c>
      <c r="B258" s="133" t="s">
        <v>545</v>
      </c>
      <c r="C258" s="16" t="s">
        <v>12</v>
      </c>
      <c r="D258" s="40">
        <v>121</v>
      </c>
      <c r="E258" s="146"/>
      <c r="F258" s="40">
        <f t="shared" si="86"/>
        <v>121</v>
      </c>
      <c r="G258" s="40"/>
      <c r="H258" s="331">
        <f>MROUND((D258*(1+Sheet1!$C$3)),0.1)</f>
        <v>124.30000000000001</v>
      </c>
      <c r="I258" s="40"/>
      <c r="J258" s="40">
        <f t="shared" si="87"/>
        <v>124.30000000000001</v>
      </c>
      <c r="K258" s="9">
        <f t="shared" si="88"/>
        <v>3.3000000000000114</v>
      </c>
      <c r="L258" s="8">
        <f t="shared" si="89"/>
        <v>2.7272727272727365E-2</v>
      </c>
    </row>
    <row r="259" spans="1:12" ht="15.5" x14ac:dyDescent="0.35">
      <c r="A259" s="136">
        <f t="shared" si="90"/>
        <v>203</v>
      </c>
      <c r="B259" s="133" t="s">
        <v>546</v>
      </c>
      <c r="C259" s="16" t="s">
        <v>12</v>
      </c>
      <c r="D259" s="40">
        <v>1.65</v>
      </c>
      <c r="E259" s="146"/>
      <c r="F259" s="40">
        <f t="shared" si="86"/>
        <v>1.65</v>
      </c>
      <c r="G259" s="40"/>
      <c r="H259" s="331">
        <f>MROUND((D259*(1+Sheet1!$C$3)),0.1)</f>
        <v>1.7000000000000002</v>
      </c>
      <c r="I259" s="40"/>
      <c r="J259" s="40">
        <f t="shared" si="87"/>
        <v>1.7000000000000002</v>
      </c>
      <c r="K259" s="9">
        <f t="shared" si="88"/>
        <v>5.0000000000000266E-2</v>
      </c>
      <c r="L259" s="8">
        <f t="shared" si="89"/>
        <v>3.0303030303030467E-2</v>
      </c>
    </row>
    <row r="260" spans="1:12" ht="15.5" x14ac:dyDescent="0.35">
      <c r="A260" s="136"/>
      <c r="B260" s="133"/>
      <c r="C260" s="16"/>
      <c r="D260" s="40"/>
      <c r="E260" s="146"/>
      <c r="F260" s="40"/>
      <c r="G260" s="40"/>
      <c r="H260" s="40"/>
      <c r="I260" s="146"/>
      <c r="J260" s="40"/>
      <c r="K260" s="9"/>
      <c r="L260" s="8"/>
    </row>
    <row r="261" spans="1:12" s="142" customFormat="1" ht="18.5" thickBot="1" x14ac:dyDescent="0.4">
      <c r="A261" s="150"/>
      <c r="B261" s="259" t="s">
        <v>547</v>
      </c>
      <c r="C261" s="16"/>
      <c r="D261" s="152"/>
      <c r="E261" s="40"/>
      <c r="F261" s="40"/>
      <c r="G261" s="40"/>
      <c r="H261" s="40"/>
      <c r="I261" s="40"/>
      <c r="J261" s="40"/>
      <c r="K261" s="9"/>
      <c r="L261" s="137"/>
    </row>
    <row r="262" spans="1:12" ht="16" thickTop="1" x14ac:dyDescent="0.35">
      <c r="A262" s="136">
        <f>+A259+1</f>
        <v>204</v>
      </c>
      <c r="B262" s="133" t="s">
        <v>548</v>
      </c>
      <c r="C262" s="16" t="s">
        <v>12</v>
      </c>
      <c r="D262" s="584" t="s">
        <v>549</v>
      </c>
      <c r="E262" s="585"/>
      <c r="F262" s="586"/>
      <c r="G262" s="151"/>
      <c r="H262" s="584" t="s">
        <v>549</v>
      </c>
      <c r="I262" s="585"/>
      <c r="J262" s="586"/>
      <c r="K262" s="9"/>
      <c r="L262" s="8"/>
    </row>
    <row r="263" spans="1:12" ht="15.5" x14ac:dyDescent="0.35">
      <c r="A263" s="37">
        <f>+A262+1</f>
        <v>205</v>
      </c>
      <c r="B263" s="133" t="s">
        <v>550</v>
      </c>
      <c r="C263" s="16" t="s">
        <v>12</v>
      </c>
      <c r="D263" s="584" t="s">
        <v>549</v>
      </c>
      <c r="E263" s="585"/>
      <c r="F263" s="586"/>
      <c r="G263" s="151"/>
      <c r="H263" s="584" t="s">
        <v>549</v>
      </c>
      <c r="I263" s="585"/>
      <c r="J263" s="586"/>
      <c r="K263" s="9"/>
      <c r="L263" s="8"/>
    </row>
    <row r="264" spans="1:12" ht="15.5" x14ac:dyDescent="0.35">
      <c r="A264" s="136" t="s">
        <v>421</v>
      </c>
      <c r="B264" s="133"/>
      <c r="C264" s="16"/>
      <c r="D264" s="40"/>
      <c r="E264" s="40"/>
      <c r="F264" s="40"/>
      <c r="G264" s="40"/>
      <c r="H264" s="40"/>
      <c r="I264" s="40"/>
      <c r="J264" s="40"/>
      <c r="K264" s="9"/>
      <c r="L264" s="8"/>
    </row>
    <row r="265" spans="1:12" ht="18.5" thickBot="1" x14ac:dyDescent="0.4">
      <c r="A265" s="136"/>
      <c r="B265" s="275" t="s">
        <v>551</v>
      </c>
      <c r="C265" s="16"/>
      <c r="D265" s="40"/>
      <c r="E265" s="40"/>
      <c r="F265" s="40"/>
      <c r="G265" s="40"/>
      <c r="H265" s="40"/>
      <c r="I265" s="40"/>
      <c r="J265" s="40"/>
      <c r="K265" s="9"/>
      <c r="L265" s="137"/>
    </row>
    <row r="266" spans="1:12" ht="16" thickTop="1" x14ac:dyDescent="0.35">
      <c r="A266" s="136"/>
      <c r="B266" s="153"/>
      <c r="C266" s="16"/>
      <c r="D266" s="40"/>
      <c r="E266" s="40"/>
      <c r="F266" s="40"/>
      <c r="G266" s="40"/>
      <c r="H266" s="40"/>
      <c r="I266" s="40"/>
      <c r="J266" s="40"/>
      <c r="K266" s="9"/>
      <c r="L266" s="137"/>
    </row>
    <row r="267" spans="1:12" ht="17" thickBot="1" x14ac:dyDescent="0.4">
      <c r="A267" s="136"/>
      <c r="B267" s="276" t="s">
        <v>552</v>
      </c>
      <c r="C267" s="16"/>
      <c r="D267" s="40"/>
      <c r="E267" s="40"/>
      <c r="F267" s="40"/>
      <c r="G267" s="40"/>
      <c r="H267" s="40"/>
      <c r="I267" s="40"/>
      <c r="J267" s="40"/>
      <c r="K267" s="9"/>
      <c r="L267" s="137"/>
    </row>
    <row r="268" spans="1:12" ht="15.5" x14ac:dyDescent="0.35">
      <c r="A268" s="136">
        <f>A263+1</f>
        <v>206</v>
      </c>
      <c r="B268" s="132" t="s">
        <v>553</v>
      </c>
      <c r="C268" s="16" t="s">
        <v>12</v>
      </c>
      <c r="D268" s="40"/>
      <c r="E268" s="40"/>
      <c r="F268" s="40"/>
      <c r="G268" s="40"/>
      <c r="H268" s="40"/>
      <c r="I268" s="40"/>
      <c r="J268" s="40"/>
      <c r="K268" s="9"/>
      <c r="L268" s="8"/>
    </row>
    <row r="269" spans="1:12" ht="15.75" customHeight="1" x14ac:dyDescent="0.35">
      <c r="A269" s="136">
        <f>A268+1</f>
        <v>207</v>
      </c>
      <c r="B269" s="133" t="s">
        <v>554</v>
      </c>
      <c r="C269" s="16" t="s">
        <v>12</v>
      </c>
      <c r="D269" s="40">
        <v>3</v>
      </c>
      <c r="E269" s="40"/>
      <c r="F269" s="40">
        <f>SUM(D269:E269)</f>
        <v>3</v>
      </c>
      <c r="G269" s="40"/>
      <c r="H269" s="331">
        <f>MROUND((D269*(1+Sheet1!$C$3)),0.1)</f>
        <v>3.1</v>
      </c>
      <c r="I269" s="40"/>
      <c r="J269" s="40">
        <f t="shared" ref="J269" si="91">SUM(H269:I269)</f>
        <v>3.1</v>
      </c>
      <c r="K269" s="9">
        <f>J269-F269</f>
        <v>0.10000000000000009</v>
      </c>
      <c r="L269" s="8">
        <f>IF(F269="","NEW",K269/F269)</f>
        <v>3.3333333333333361E-2</v>
      </c>
    </row>
    <row r="270" spans="1:12" s="142" customFormat="1" ht="31" x14ac:dyDescent="0.35">
      <c r="A270" s="136">
        <f>A269+1</f>
        <v>208</v>
      </c>
      <c r="B270" s="277" t="s">
        <v>555</v>
      </c>
      <c r="C270" s="16"/>
      <c r="D270" s="40"/>
      <c r="E270" s="40"/>
      <c r="F270" s="40"/>
      <c r="G270" s="40"/>
      <c r="H270" s="40"/>
      <c r="I270" s="40"/>
      <c r="J270" s="40"/>
      <c r="K270" s="9"/>
      <c r="L270" s="8"/>
    </row>
    <row r="271" spans="1:12" ht="17" thickBot="1" x14ac:dyDescent="0.4">
      <c r="A271" s="136"/>
      <c r="B271" s="276" t="s">
        <v>556</v>
      </c>
      <c r="C271" s="16"/>
      <c r="D271" s="40"/>
      <c r="E271" s="40"/>
      <c r="F271" s="40"/>
      <c r="G271" s="40"/>
      <c r="H271" s="40"/>
      <c r="I271" s="40"/>
      <c r="J271" s="40"/>
      <c r="K271" s="9"/>
      <c r="L271" s="8"/>
    </row>
    <row r="272" spans="1:12" ht="77.5" x14ac:dyDescent="0.35">
      <c r="A272" s="136">
        <f>A270+1</f>
        <v>209</v>
      </c>
      <c r="B272" s="132" t="s">
        <v>557</v>
      </c>
      <c r="C272" s="16" t="s">
        <v>12</v>
      </c>
      <c r="D272" s="40">
        <v>41.67</v>
      </c>
      <c r="E272" s="40">
        <f>ROUND(D272*0.2,2)</f>
        <v>8.33</v>
      </c>
      <c r="F272" s="40">
        <f>SUM(D272:E272)</f>
        <v>50</v>
      </c>
      <c r="G272" s="40"/>
      <c r="H272" s="331">
        <f>MROUND((D272*(1+Sheet1!$C$3)),0.1)</f>
        <v>42.800000000000004</v>
      </c>
      <c r="I272" s="40">
        <f>ROUND(H272*0.2,2)</f>
        <v>8.56</v>
      </c>
      <c r="J272" s="40">
        <f t="shared" ref="J272" si="92">SUM(H272:I272)</f>
        <v>51.360000000000007</v>
      </c>
      <c r="K272" s="9">
        <f>J272-F272</f>
        <v>1.3600000000000065</v>
      </c>
      <c r="L272" s="8">
        <f>IF(F272="","NEW",K272/F272)</f>
        <v>2.720000000000013E-2</v>
      </c>
    </row>
    <row r="273" spans="1:12" ht="77.5" x14ac:dyDescent="0.35">
      <c r="A273" s="136">
        <f>A272+1</f>
        <v>210</v>
      </c>
      <c r="B273" s="132" t="s">
        <v>558</v>
      </c>
      <c r="C273" s="16" t="s">
        <v>12</v>
      </c>
      <c r="D273" s="40">
        <v>12.5</v>
      </c>
      <c r="E273" s="40">
        <f>ROUND(D273*0.2,2)</f>
        <v>2.5</v>
      </c>
      <c r="F273" s="40">
        <f>SUM(D273:E273)</f>
        <v>15</v>
      </c>
      <c r="G273" s="40"/>
      <c r="H273" s="331">
        <f>MROUND((D273*(1+Sheet1!$C$3)),0.1)</f>
        <v>12.8</v>
      </c>
      <c r="I273" s="40">
        <f>ROUND(H273*0.2,2)</f>
        <v>2.56</v>
      </c>
      <c r="J273" s="40">
        <f t="shared" ref="J273" si="93">SUM(H273:I273)</f>
        <v>15.360000000000001</v>
      </c>
      <c r="K273" s="9">
        <f>J273-F273</f>
        <v>0.36000000000000121</v>
      </c>
      <c r="L273" s="8">
        <f>IF(F273="","NEW",K273/F273)</f>
        <v>2.400000000000008E-2</v>
      </c>
    </row>
    <row r="274" spans="1:12" ht="15.5" x14ac:dyDescent="0.35">
      <c r="A274" s="37" t="s">
        <v>421</v>
      </c>
      <c r="B274" s="145"/>
      <c r="C274" s="16"/>
      <c r="D274" s="40"/>
      <c r="E274" s="40"/>
      <c r="F274" s="40"/>
      <c r="G274" s="40"/>
      <c r="H274" s="40"/>
      <c r="I274" s="40"/>
      <c r="J274" s="40"/>
      <c r="K274" s="9"/>
      <c r="L274" s="8"/>
    </row>
    <row r="275" spans="1:12" ht="17" thickBot="1" x14ac:dyDescent="0.4">
      <c r="A275" s="136"/>
      <c r="B275" s="276" t="s">
        <v>559</v>
      </c>
      <c r="C275" s="16"/>
      <c r="D275" s="40"/>
      <c r="E275" s="40"/>
      <c r="F275" s="40"/>
      <c r="G275" s="40"/>
      <c r="H275" s="40"/>
      <c r="I275" s="40"/>
      <c r="J275" s="40"/>
      <c r="K275" s="9"/>
      <c r="L275" s="8"/>
    </row>
    <row r="276" spans="1:12" ht="15.5" x14ac:dyDescent="0.35">
      <c r="A276" s="136">
        <f>A273+1</f>
        <v>211</v>
      </c>
      <c r="B276" s="133" t="s">
        <v>560</v>
      </c>
      <c r="C276" s="16" t="s">
        <v>12</v>
      </c>
      <c r="D276" s="40">
        <v>0.3</v>
      </c>
      <c r="E276" s="40"/>
      <c r="F276" s="40">
        <f>SUM(D276:E276)</f>
        <v>0.3</v>
      </c>
      <c r="G276" s="40"/>
      <c r="H276" s="331">
        <f>MROUND((D276*(1+Sheet1!$C$3)),0.1)</f>
        <v>0.30000000000000004</v>
      </c>
      <c r="I276" s="40"/>
      <c r="J276" s="40">
        <f t="shared" ref="J276:J277" si="94">SUM(H276:I276)</f>
        <v>0.30000000000000004</v>
      </c>
      <c r="K276" s="9">
        <f>J276-F276</f>
        <v>0</v>
      </c>
      <c r="L276" s="8">
        <f>IF(F276="","NEW",K276/F276)</f>
        <v>0</v>
      </c>
    </row>
    <row r="277" spans="1:12" ht="15.5" x14ac:dyDescent="0.35">
      <c r="A277" s="136">
        <f>+A276+1</f>
        <v>212</v>
      </c>
      <c r="B277" s="133" t="s">
        <v>561</v>
      </c>
      <c r="C277" s="16" t="s">
        <v>12</v>
      </c>
      <c r="D277" s="40">
        <v>12</v>
      </c>
      <c r="E277" s="40"/>
      <c r="F277" s="40">
        <f>SUM(D277:E277)</f>
        <v>12</v>
      </c>
      <c r="G277" s="40"/>
      <c r="H277" s="331">
        <f>MROUND((D277*(1+Sheet1!$C$3)),0.1)</f>
        <v>12.3</v>
      </c>
      <c r="I277" s="40"/>
      <c r="J277" s="40">
        <f t="shared" si="94"/>
        <v>12.3</v>
      </c>
      <c r="K277" s="9">
        <f>J277-F277</f>
        <v>0.30000000000000071</v>
      </c>
      <c r="L277" s="8">
        <f>IF(F277="","NEW",K277/F277)</f>
        <v>2.500000000000006E-2</v>
      </c>
    </row>
    <row r="278" spans="1:12" s="142" customFormat="1" ht="15.5" x14ac:dyDescent="0.35">
      <c r="A278" s="136" t="s">
        <v>421</v>
      </c>
      <c r="B278" s="148"/>
      <c r="C278" s="16"/>
      <c r="D278" s="40"/>
      <c r="E278" s="40"/>
      <c r="F278" s="40"/>
      <c r="G278" s="40"/>
      <c r="H278" s="40"/>
      <c r="I278" s="40"/>
      <c r="J278" s="40"/>
      <c r="K278" s="9"/>
      <c r="L278" s="8"/>
    </row>
    <row r="279" spans="1:12" ht="17" thickBot="1" x14ac:dyDescent="0.4">
      <c r="A279" s="136"/>
      <c r="B279" s="276" t="s">
        <v>562</v>
      </c>
      <c r="C279" s="16"/>
      <c r="D279" s="40"/>
      <c r="E279" s="40"/>
      <c r="F279" s="40"/>
      <c r="G279" s="40"/>
      <c r="H279" s="40"/>
      <c r="I279" s="40"/>
      <c r="J279" s="40"/>
      <c r="K279" s="9"/>
      <c r="L279" s="137"/>
    </row>
    <row r="280" spans="1:12" ht="15.5" x14ac:dyDescent="0.35">
      <c r="A280" s="136">
        <f>A277+1</f>
        <v>213</v>
      </c>
      <c r="B280" s="133" t="s">
        <v>563</v>
      </c>
      <c r="C280" s="16" t="s">
        <v>12</v>
      </c>
      <c r="D280" s="40">
        <v>1.75</v>
      </c>
      <c r="E280" s="40"/>
      <c r="F280" s="40">
        <f>SUM(D280:E280)</f>
        <v>1.75</v>
      </c>
      <c r="G280" s="40"/>
      <c r="H280" s="331">
        <f>MROUND((D280*(1+Sheet1!$C$3)),0.1)</f>
        <v>1.8</v>
      </c>
      <c r="I280" s="40"/>
      <c r="J280" s="40">
        <f t="shared" ref="J280:J281" si="95">SUM(H280:I280)</f>
        <v>1.8</v>
      </c>
      <c r="K280" s="9">
        <f>J280-F280</f>
        <v>5.0000000000000044E-2</v>
      </c>
      <c r="L280" s="8">
        <f>IF(F280="","NEW",K280/F280)</f>
        <v>2.8571428571428598E-2</v>
      </c>
    </row>
    <row r="281" spans="1:12" ht="15.5" x14ac:dyDescent="0.35">
      <c r="A281" s="136">
        <f>A280+1</f>
        <v>214</v>
      </c>
      <c r="B281" s="133" t="s">
        <v>564</v>
      </c>
      <c r="C281" s="16" t="s">
        <v>12</v>
      </c>
      <c r="D281" s="40">
        <v>2.75</v>
      </c>
      <c r="E281" s="40"/>
      <c r="F281" s="40">
        <f>SUM(D281:E281)</f>
        <v>2.75</v>
      </c>
      <c r="G281" s="40"/>
      <c r="H281" s="331">
        <f>MROUND((D281*(1+Sheet1!$C$3)),0.1)</f>
        <v>2.8000000000000003</v>
      </c>
      <c r="I281" s="40"/>
      <c r="J281" s="40">
        <f t="shared" si="95"/>
        <v>2.8000000000000003</v>
      </c>
      <c r="K281" s="9">
        <f>J281-F281</f>
        <v>5.0000000000000266E-2</v>
      </c>
      <c r="L281" s="8">
        <f>IF(F281="","NEW",K281/F281)</f>
        <v>1.8181818181818278E-2</v>
      </c>
    </row>
    <row r="282" spans="1:12" ht="15.5" x14ac:dyDescent="0.35">
      <c r="A282" s="136">
        <f>A281+1</f>
        <v>215</v>
      </c>
      <c r="B282" s="133" t="s">
        <v>565</v>
      </c>
      <c r="C282" s="16" t="s">
        <v>12</v>
      </c>
      <c r="D282" s="40"/>
      <c r="E282" s="40"/>
      <c r="F282" s="40"/>
      <c r="G282" s="40"/>
      <c r="H282" s="40"/>
      <c r="I282" s="40"/>
      <c r="J282" s="40"/>
      <c r="K282" s="9"/>
      <c r="L282" s="8"/>
    </row>
    <row r="283" spans="1:12" ht="15.5" x14ac:dyDescent="0.35">
      <c r="A283" s="37">
        <f t="shared" ref="A283:A284" si="96">+A282+1</f>
        <v>216</v>
      </c>
      <c r="B283" s="143" t="s">
        <v>566</v>
      </c>
      <c r="C283" s="16" t="s">
        <v>12</v>
      </c>
      <c r="D283" s="40">
        <v>1.75</v>
      </c>
      <c r="E283" s="40"/>
      <c r="F283" s="40">
        <f>SUM(D283:E283)</f>
        <v>1.75</v>
      </c>
      <c r="G283" s="40"/>
      <c r="H283" s="331">
        <f>MROUND((D283*(1+Sheet1!$C$3)),0.1)</f>
        <v>1.8</v>
      </c>
      <c r="I283" s="40"/>
      <c r="J283" s="40">
        <f t="shared" ref="J283:J284" si="97">SUM(H283:I283)</f>
        <v>1.8</v>
      </c>
      <c r="K283" s="9">
        <f>J283-F283</f>
        <v>5.0000000000000044E-2</v>
      </c>
      <c r="L283" s="8">
        <f>IF(F283="","NEW",K283/F283)</f>
        <v>2.8571428571428598E-2</v>
      </c>
    </row>
    <row r="284" spans="1:12" ht="15.5" x14ac:dyDescent="0.35">
      <c r="A284" s="37">
        <f t="shared" si="96"/>
        <v>217</v>
      </c>
      <c r="B284" s="133" t="s">
        <v>567</v>
      </c>
      <c r="C284" s="16" t="s">
        <v>12</v>
      </c>
      <c r="D284" s="40">
        <v>5.5</v>
      </c>
      <c r="E284" s="40"/>
      <c r="F284" s="40">
        <f>SUM(D284:E284)</f>
        <v>5.5</v>
      </c>
      <c r="G284" s="40"/>
      <c r="H284" s="331">
        <f>MROUND((D284*(1+Sheet1!$C$3)),0.1)</f>
        <v>5.7</v>
      </c>
      <c r="I284" s="40"/>
      <c r="J284" s="40">
        <f t="shared" si="97"/>
        <v>5.7</v>
      </c>
      <c r="K284" s="9">
        <f>J284-F284</f>
        <v>0.20000000000000018</v>
      </c>
      <c r="L284" s="8">
        <f>IF(F284="","NEW",K284/F284)</f>
        <v>3.6363636363636397E-2</v>
      </c>
    </row>
    <row r="285" spans="1:12" ht="15.5" x14ac:dyDescent="0.35">
      <c r="A285" s="37" t="s">
        <v>421</v>
      </c>
      <c r="B285" s="133"/>
      <c r="C285" s="16"/>
      <c r="D285" s="40"/>
      <c r="E285" s="40"/>
      <c r="F285" s="40"/>
      <c r="G285" s="40"/>
      <c r="H285" s="40"/>
      <c r="I285" s="40"/>
      <c r="J285" s="40"/>
      <c r="K285" s="9"/>
      <c r="L285" s="8"/>
    </row>
    <row r="286" spans="1:12" ht="17" thickBot="1" x14ac:dyDescent="0.4">
      <c r="A286" s="136"/>
      <c r="B286" s="276" t="s">
        <v>568</v>
      </c>
      <c r="C286" s="16"/>
      <c r="D286" s="40"/>
      <c r="E286" s="40"/>
      <c r="F286" s="40"/>
      <c r="G286" s="40"/>
      <c r="H286" s="40"/>
      <c r="I286" s="40"/>
      <c r="J286" s="40"/>
      <c r="K286" s="9"/>
      <c r="L286" s="137"/>
    </row>
    <row r="287" spans="1:12" ht="15.5" x14ac:dyDescent="0.35">
      <c r="A287" s="136">
        <f>A284+1</f>
        <v>218</v>
      </c>
      <c r="B287" s="133" t="s">
        <v>569</v>
      </c>
      <c r="C287" s="16" t="s">
        <v>12</v>
      </c>
      <c r="D287" s="40">
        <v>1.1000000000000001</v>
      </c>
      <c r="E287" s="40"/>
      <c r="F287" s="40">
        <f>SUM(D287:E287)</f>
        <v>1.1000000000000001</v>
      </c>
      <c r="G287" s="40"/>
      <c r="H287" s="331">
        <f>MROUND((D287*(1+Sheet1!$C$3)),0.1)</f>
        <v>1.1000000000000001</v>
      </c>
      <c r="I287" s="40"/>
      <c r="J287" s="40">
        <f t="shared" ref="J287:J289" si="98">SUM(H287:I287)</f>
        <v>1.1000000000000001</v>
      </c>
      <c r="K287" s="9">
        <f>J287-F287</f>
        <v>0</v>
      </c>
      <c r="L287" s="8">
        <f>IF(F287="","NEW",K287/F287)</f>
        <v>0</v>
      </c>
    </row>
    <row r="288" spans="1:12" ht="15.5" x14ac:dyDescent="0.35">
      <c r="A288" s="136">
        <f t="shared" ref="A288:A289" si="99">+A287+1</f>
        <v>219</v>
      </c>
      <c r="B288" s="133" t="s">
        <v>570</v>
      </c>
      <c r="C288" s="16" t="s">
        <v>12</v>
      </c>
      <c r="D288" s="40">
        <v>1.1000000000000001</v>
      </c>
      <c r="E288" s="40"/>
      <c r="F288" s="40">
        <f>SUM(D288:E288)</f>
        <v>1.1000000000000001</v>
      </c>
      <c r="G288" s="40"/>
      <c r="H288" s="331">
        <f>MROUND((D288*(1+Sheet1!$C$3)),0.1)</f>
        <v>1.1000000000000001</v>
      </c>
      <c r="I288" s="40"/>
      <c r="J288" s="40">
        <f t="shared" si="98"/>
        <v>1.1000000000000001</v>
      </c>
      <c r="K288" s="9">
        <f>J288-F288</f>
        <v>0</v>
      </c>
      <c r="L288" s="8">
        <f>IF(F288="","NEW",K288/F288)</f>
        <v>0</v>
      </c>
    </row>
    <row r="289" spans="1:12" s="142" customFormat="1" ht="15.5" x14ac:dyDescent="0.35">
      <c r="A289" s="136">
        <f t="shared" si="99"/>
        <v>220</v>
      </c>
      <c r="B289" s="133" t="s">
        <v>571</v>
      </c>
      <c r="C289" s="16" t="s">
        <v>12</v>
      </c>
      <c r="D289" s="40">
        <v>11</v>
      </c>
      <c r="E289" s="40"/>
      <c r="F289" s="40">
        <f>SUM(D289:E289)</f>
        <v>11</v>
      </c>
      <c r="G289" s="40"/>
      <c r="H289" s="331">
        <f>MROUND((D289*(1+Sheet1!$C$3)),0.1)</f>
        <v>11.3</v>
      </c>
      <c r="I289" s="40"/>
      <c r="J289" s="40">
        <f t="shared" si="98"/>
        <v>11.3</v>
      </c>
      <c r="K289" s="9">
        <f>J289-F289</f>
        <v>0.30000000000000071</v>
      </c>
      <c r="L289" s="8">
        <f>IF(F289="","NEW",K289/F289)</f>
        <v>2.7272727272727337E-2</v>
      </c>
    </row>
    <row r="290" spans="1:12" ht="15.5" x14ac:dyDescent="0.35">
      <c r="A290" s="136" t="s">
        <v>421</v>
      </c>
      <c r="B290" s="133"/>
      <c r="C290" s="16"/>
      <c r="D290" s="40"/>
      <c r="E290" s="40"/>
      <c r="F290" s="40"/>
      <c r="G290" s="40"/>
      <c r="H290" s="40"/>
      <c r="I290" s="40"/>
      <c r="J290" s="40"/>
      <c r="K290" s="9"/>
      <c r="L290" s="8"/>
    </row>
    <row r="291" spans="1:12" ht="15.5" x14ac:dyDescent="0.35">
      <c r="A291" s="136" t="s">
        <v>421</v>
      </c>
      <c r="B291" s="133"/>
      <c r="C291" s="16"/>
      <c r="D291" s="40"/>
      <c r="E291" s="40"/>
      <c r="F291" s="40"/>
      <c r="G291" s="40"/>
      <c r="H291" s="40"/>
      <c r="I291" s="40"/>
      <c r="J291" s="40"/>
      <c r="K291" s="9"/>
      <c r="L291" s="8"/>
    </row>
    <row r="292" spans="1:12" ht="50" thickBot="1" x14ac:dyDescent="0.4">
      <c r="A292" s="136"/>
      <c r="B292" s="276" t="s">
        <v>572</v>
      </c>
      <c r="C292" s="16"/>
      <c r="D292" s="40"/>
      <c r="E292" s="40"/>
      <c r="F292" s="40"/>
      <c r="G292" s="40"/>
      <c r="H292" s="40"/>
      <c r="I292" s="40"/>
      <c r="J292" s="40"/>
      <c r="K292" s="9"/>
      <c r="L292" s="8"/>
    </row>
    <row r="293" spans="1:12" ht="15.75" customHeight="1" x14ac:dyDescent="0.35">
      <c r="A293" s="136">
        <f>A289+1</f>
        <v>221</v>
      </c>
      <c r="B293" s="154" t="s">
        <v>573</v>
      </c>
      <c r="C293" s="16" t="s">
        <v>574</v>
      </c>
      <c r="D293" s="40">
        <v>2.92</v>
      </c>
      <c r="E293" s="40">
        <f>ROUND(D293*0.2,2)</f>
        <v>0.57999999999999996</v>
      </c>
      <c r="F293" s="40">
        <f>SUM(D293:E293)</f>
        <v>3.5</v>
      </c>
      <c r="G293" s="40"/>
      <c r="H293" s="331">
        <f>MROUND((D293*(1+Sheet1!$C$3)),0.1)</f>
        <v>3</v>
      </c>
      <c r="I293" s="40">
        <f>ROUND(H293*0.2,2)</f>
        <v>0.6</v>
      </c>
      <c r="J293" s="40">
        <f t="shared" ref="J293" si="100">SUM(H293:I293)</f>
        <v>3.6</v>
      </c>
      <c r="K293" s="9">
        <f t="shared" ref="K293" si="101">J293-F293</f>
        <v>0.10000000000000009</v>
      </c>
      <c r="L293" s="8">
        <f t="shared" ref="L293" si="102">IF(F293="","NEW",K293/F293)</f>
        <v>2.8571428571428598E-2</v>
      </c>
    </row>
    <row r="294" spans="1:12" ht="15.5" x14ac:dyDescent="0.35">
      <c r="A294" s="136">
        <f t="shared" ref="A294" si="103">A293+1</f>
        <v>222</v>
      </c>
      <c r="B294" s="132" t="s">
        <v>575</v>
      </c>
      <c r="C294" s="16" t="s">
        <v>574</v>
      </c>
      <c r="D294" s="584" t="s">
        <v>520</v>
      </c>
      <c r="E294" s="585"/>
      <c r="F294" s="586"/>
      <c r="G294" s="151"/>
      <c r="H294" s="584" t="s">
        <v>520</v>
      </c>
      <c r="I294" s="585"/>
      <c r="J294" s="586"/>
      <c r="K294" s="9"/>
      <c r="L294" s="137"/>
    </row>
    <row r="295" spans="1:12" ht="15.5" x14ac:dyDescent="0.35">
      <c r="A295" s="37" t="s">
        <v>421</v>
      </c>
      <c r="B295" s="132"/>
      <c r="C295" s="16"/>
      <c r="D295" s="40"/>
      <c r="E295" s="40"/>
      <c r="F295" s="40"/>
      <c r="G295" s="40"/>
      <c r="H295" s="155"/>
      <c r="I295" s="156"/>
      <c r="J295" s="157"/>
      <c r="K295" s="9"/>
      <c r="L295" s="137"/>
    </row>
    <row r="296" spans="1:12" ht="18.5" thickBot="1" x14ac:dyDescent="0.45">
      <c r="A296" s="37" t="s">
        <v>421</v>
      </c>
      <c r="B296" s="272" t="s">
        <v>576</v>
      </c>
      <c r="C296" s="16"/>
      <c r="D296" s="40"/>
      <c r="E296" s="40"/>
      <c r="F296" s="40"/>
      <c r="G296" s="40"/>
      <c r="H296" s="40"/>
      <c r="I296" s="40"/>
      <c r="J296" s="40"/>
      <c r="K296" s="9"/>
      <c r="L296" s="137"/>
    </row>
    <row r="297" spans="1:12" ht="125.25" customHeight="1" thickTop="1" x14ac:dyDescent="0.35">
      <c r="A297" s="37"/>
      <c r="B297" s="590" t="s">
        <v>577</v>
      </c>
      <c r="C297" s="591"/>
      <c r="D297" s="591"/>
      <c r="E297" s="591"/>
      <c r="F297" s="592"/>
      <c r="G297" s="40"/>
      <c r="H297" s="40"/>
      <c r="I297" s="40"/>
      <c r="J297" s="40"/>
      <c r="K297" s="9"/>
      <c r="L297" s="137"/>
    </row>
    <row r="298" spans="1:12" s="142" customFormat="1" ht="17" thickBot="1" x14ac:dyDescent="0.4">
      <c r="A298" s="37"/>
      <c r="B298" s="271" t="s">
        <v>578</v>
      </c>
      <c r="C298" s="16"/>
      <c r="D298" s="40"/>
      <c r="E298" s="40"/>
      <c r="F298" s="40"/>
      <c r="G298" s="40"/>
      <c r="H298" s="40"/>
      <c r="I298" s="40"/>
      <c r="J298" s="40"/>
      <c r="K298" s="9"/>
      <c r="L298" s="137"/>
    </row>
    <row r="299" spans="1:12" s="142" customFormat="1" ht="15.65" customHeight="1" x14ac:dyDescent="0.35">
      <c r="A299" s="136">
        <f>A294+1</f>
        <v>223</v>
      </c>
      <c r="B299" s="86" t="s">
        <v>579</v>
      </c>
      <c r="C299" s="16" t="s">
        <v>12</v>
      </c>
      <c r="D299" s="40">
        <v>140</v>
      </c>
      <c r="E299" s="40"/>
      <c r="F299" s="40">
        <f t="shared" ref="F299:F302" si="104">SUM(D299:E299)</f>
        <v>140</v>
      </c>
      <c r="G299" s="40"/>
      <c r="H299" s="331">
        <f>MROUND((D299*(1+Sheet1!$C$3)),1)</f>
        <v>144</v>
      </c>
      <c r="I299" s="40"/>
      <c r="J299" s="40">
        <f t="shared" ref="J299:J300" si="105">SUM(H299:I299)</f>
        <v>144</v>
      </c>
      <c r="K299" s="9">
        <f t="shared" ref="K299:K300" si="106">J299-F299</f>
        <v>4</v>
      </c>
      <c r="L299" s="8">
        <f>IF(F299="","NEW",K299/F299)</f>
        <v>2.8571428571428571E-2</v>
      </c>
    </row>
    <row r="300" spans="1:12" s="142" customFormat="1" ht="15.65" customHeight="1" x14ac:dyDescent="0.35">
      <c r="A300" s="37">
        <f t="shared" ref="A300:A302" si="107">A299+1</f>
        <v>224</v>
      </c>
      <c r="B300" s="86" t="s">
        <v>580</v>
      </c>
      <c r="C300" s="16" t="s">
        <v>12</v>
      </c>
      <c r="D300" s="40">
        <v>265</v>
      </c>
      <c r="E300" s="40"/>
      <c r="F300" s="40">
        <f t="shared" si="104"/>
        <v>265</v>
      </c>
      <c r="G300" s="40"/>
      <c r="H300" s="331">
        <f>MROUND((D300*(1+Sheet1!$C$3)),1)</f>
        <v>272</v>
      </c>
      <c r="I300" s="40"/>
      <c r="J300" s="40">
        <f t="shared" si="105"/>
        <v>272</v>
      </c>
      <c r="K300" s="9">
        <f t="shared" si="106"/>
        <v>7</v>
      </c>
      <c r="L300" s="8">
        <f>IF(F300="","NEW",K300/F300)</f>
        <v>2.6415094339622643E-2</v>
      </c>
    </row>
    <row r="301" spans="1:12" s="142" customFormat="1" ht="15.65" customHeight="1" x14ac:dyDescent="0.35">
      <c r="A301" s="37">
        <f t="shared" si="107"/>
        <v>225</v>
      </c>
      <c r="B301" s="86" t="s">
        <v>581</v>
      </c>
      <c r="C301" s="16" t="s">
        <v>12</v>
      </c>
      <c r="D301" s="40">
        <v>40</v>
      </c>
      <c r="E301" s="40"/>
      <c r="F301" s="40">
        <f t="shared" si="104"/>
        <v>40</v>
      </c>
      <c r="G301" s="40"/>
      <c r="H301" s="331">
        <f>MROUND((D301*(1+Sheet1!$C$3)),1)</f>
        <v>41</v>
      </c>
      <c r="I301" s="40"/>
      <c r="J301" s="40">
        <f t="shared" ref="J301" si="108">SUM(H301:I301)</f>
        <v>41</v>
      </c>
      <c r="K301" s="9">
        <f t="shared" ref="K301" si="109">J301-F301</f>
        <v>1</v>
      </c>
      <c r="L301" s="8">
        <f>IF(F301="","NEW",K301/F301)</f>
        <v>2.5000000000000001E-2</v>
      </c>
    </row>
    <row r="302" spans="1:12" s="142" customFormat="1" ht="15.65" customHeight="1" x14ac:dyDescent="0.35">
      <c r="A302" s="37">
        <f t="shared" si="107"/>
        <v>226</v>
      </c>
      <c r="B302" s="86" t="s">
        <v>582</v>
      </c>
      <c r="C302" s="16" t="s">
        <v>12</v>
      </c>
      <c r="D302" s="40">
        <v>27.5</v>
      </c>
      <c r="E302" s="40"/>
      <c r="F302" s="40">
        <f t="shared" si="104"/>
        <v>27.5</v>
      </c>
      <c r="G302" s="40"/>
      <c r="H302" s="331">
        <f>MROUND((D302*(1+Sheet1!$C$3)),1)</f>
        <v>28</v>
      </c>
      <c r="I302" s="40"/>
      <c r="J302" s="40">
        <f t="shared" ref="J302" si="110">SUM(H302:I302)</f>
        <v>28</v>
      </c>
      <c r="K302" s="9">
        <f t="shared" ref="K302" si="111">J302-F302</f>
        <v>0.5</v>
      </c>
      <c r="L302" s="8">
        <f>IF(F302="","NEW",K302/F302)</f>
        <v>1.8181818181818181E-2</v>
      </c>
    </row>
    <row r="303" spans="1:12" ht="17.149999999999999" customHeight="1" thickBot="1" x14ac:dyDescent="0.4">
      <c r="A303" s="37"/>
      <c r="B303" s="276" t="s">
        <v>583</v>
      </c>
      <c r="C303" s="16"/>
      <c r="D303" s="40"/>
      <c r="E303" s="40"/>
      <c r="F303" s="40"/>
      <c r="G303" s="40"/>
      <c r="H303" s="40"/>
      <c r="I303" s="40"/>
      <c r="J303" s="40"/>
      <c r="K303" s="9"/>
      <c r="L303" s="137"/>
    </row>
    <row r="304" spans="1:12" ht="15.65" customHeight="1" x14ac:dyDescent="0.35">
      <c r="A304" s="136">
        <f>A302+1</f>
        <v>227</v>
      </c>
      <c r="B304" s="86" t="s">
        <v>579</v>
      </c>
      <c r="C304" s="16" t="s">
        <v>12</v>
      </c>
      <c r="D304" s="40">
        <v>110</v>
      </c>
      <c r="E304" s="40"/>
      <c r="F304" s="40">
        <f t="shared" ref="F304:F307" si="112">SUM(D304:E304)</f>
        <v>110</v>
      </c>
      <c r="G304" s="40"/>
      <c r="H304" s="331">
        <f>MROUND((D304*(1+Sheet1!$C$3)),1)</f>
        <v>113</v>
      </c>
      <c r="I304" s="40"/>
      <c r="J304" s="40">
        <f t="shared" ref="J304:J307" si="113">SUM(H304:I304)</f>
        <v>113</v>
      </c>
      <c r="K304" s="9">
        <f t="shared" ref="K304:K307" si="114">J304-F304</f>
        <v>3</v>
      </c>
      <c r="L304" s="8">
        <f>IF(F304="","NEW",K304/F304)</f>
        <v>2.7272727272727271E-2</v>
      </c>
    </row>
    <row r="305" spans="1:12" ht="15.65" customHeight="1" x14ac:dyDescent="0.35">
      <c r="A305" s="37">
        <f t="shared" ref="A305:A307" si="115">A304+1</f>
        <v>228</v>
      </c>
      <c r="B305" s="86" t="s">
        <v>584</v>
      </c>
      <c r="C305" s="16" t="s">
        <v>12</v>
      </c>
      <c r="D305" s="40">
        <v>210</v>
      </c>
      <c r="E305" s="40"/>
      <c r="F305" s="40">
        <f t="shared" si="112"/>
        <v>210</v>
      </c>
      <c r="G305" s="40"/>
      <c r="H305" s="331">
        <f>MROUND((D305*(1+Sheet1!$C$3)),1)</f>
        <v>216</v>
      </c>
      <c r="I305" s="40"/>
      <c r="J305" s="40">
        <f t="shared" si="113"/>
        <v>216</v>
      </c>
      <c r="K305" s="9">
        <f t="shared" si="114"/>
        <v>6</v>
      </c>
      <c r="L305" s="8">
        <f>IF(F305="","NEW",K305/F305)</f>
        <v>2.8571428571428571E-2</v>
      </c>
    </row>
    <row r="306" spans="1:12" ht="15.65" customHeight="1" x14ac:dyDescent="0.35">
      <c r="A306" s="37">
        <f t="shared" si="115"/>
        <v>229</v>
      </c>
      <c r="B306" s="86" t="s">
        <v>585</v>
      </c>
      <c r="C306" s="16" t="s">
        <v>12</v>
      </c>
      <c r="D306" s="40">
        <v>35</v>
      </c>
      <c r="E306" s="40"/>
      <c r="F306" s="40">
        <f t="shared" si="112"/>
        <v>35</v>
      </c>
      <c r="G306" s="40"/>
      <c r="H306" s="331">
        <f>MROUND((D306*(1+Sheet1!$C$3)),1)</f>
        <v>36</v>
      </c>
      <c r="I306" s="40"/>
      <c r="J306" s="40">
        <f t="shared" si="113"/>
        <v>36</v>
      </c>
      <c r="K306" s="9">
        <f t="shared" si="114"/>
        <v>1</v>
      </c>
      <c r="L306" s="8">
        <f>IF(F306="","NEW",K306/F306)</f>
        <v>2.8571428571428571E-2</v>
      </c>
    </row>
    <row r="307" spans="1:12" ht="15.65" customHeight="1" x14ac:dyDescent="0.35">
      <c r="A307" s="37">
        <f t="shared" si="115"/>
        <v>230</v>
      </c>
      <c r="B307" s="86" t="s">
        <v>582</v>
      </c>
      <c r="C307" s="16" t="s">
        <v>12</v>
      </c>
      <c r="D307" s="40">
        <v>22.5</v>
      </c>
      <c r="E307" s="40"/>
      <c r="F307" s="40">
        <f t="shared" si="112"/>
        <v>22.5</v>
      </c>
      <c r="G307" s="40"/>
      <c r="H307" s="331">
        <f>MROUND((D307*(1+Sheet1!$C$3)),1)</f>
        <v>23</v>
      </c>
      <c r="I307" s="40"/>
      <c r="J307" s="40">
        <f t="shared" si="113"/>
        <v>23</v>
      </c>
      <c r="K307" s="9">
        <f t="shared" si="114"/>
        <v>0.5</v>
      </c>
      <c r="L307" s="8">
        <f>IF(F307="","NEW",K307/F307)</f>
        <v>2.2222222222222223E-2</v>
      </c>
    </row>
    <row r="308" spans="1:12" s="142" customFormat="1" ht="17.149999999999999" customHeight="1" thickBot="1" x14ac:dyDescent="0.4">
      <c r="A308" s="37"/>
      <c r="B308" s="271" t="s">
        <v>586</v>
      </c>
      <c r="C308" s="16"/>
      <c r="D308" s="40"/>
      <c r="E308" s="40"/>
      <c r="F308" s="40"/>
      <c r="G308" s="40"/>
      <c r="H308" s="40"/>
      <c r="I308" s="40"/>
      <c r="J308" s="40"/>
      <c r="K308" s="9"/>
      <c r="L308" s="137"/>
    </row>
    <row r="309" spans="1:12" s="142" customFormat="1" ht="15.65" customHeight="1" x14ac:dyDescent="0.35">
      <c r="A309" s="37">
        <f>A307+1</f>
        <v>231</v>
      </c>
      <c r="B309" s="86" t="s">
        <v>579</v>
      </c>
      <c r="C309" s="16" t="s">
        <v>12</v>
      </c>
      <c r="D309" s="40">
        <v>170</v>
      </c>
      <c r="E309" s="40"/>
      <c r="F309" s="40">
        <f t="shared" ref="F309:F312" si="116">SUM(D309:E309)</f>
        <v>170</v>
      </c>
      <c r="G309" s="40"/>
      <c r="H309" s="331">
        <f>MROUND((D309*(1+Sheet1!$C$3)),1)</f>
        <v>175</v>
      </c>
      <c r="I309" s="40"/>
      <c r="J309" s="40">
        <f t="shared" ref="J309:J312" si="117">SUM(H309:I309)</f>
        <v>175</v>
      </c>
      <c r="K309" s="9">
        <f t="shared" ref="K309:K312" si="118">J309-F309</f>
        <v>5</v>
      </c>
      <c r="L309" s="8">
        <f>IF(F309="","NEW",K309/F309)</f>
        <v>2.9411764705882353E-2</v>
      </c>
    </row>
    <row r="310" spans="1:12" s="142" customFormat="1" ht="15.65" customHeight="1" x14ac:dyDescent="0.35">
      <c r="A310" s="37">
        <f>A309+1</f>
        <v>232</v>
      </c>
      <c r="B310" s="86" t="s">
        <v>584</v>
      </c>
      <c r="C310" s="16" t="s">
        <v>12</v>
      </c>
      <c r="D310" s="40">
        <v>320</v>
      </c>
      <c r="E310" s="40"/>
      <c r="F310" s="40">
        <f t="shared" si="116"/>
        <v>320</v>
      </c>
      <c r="G310" s="40"/>
      <c r="H310" s="331">
        <f>MROUND((D310*(1+Sheet1!$C$3)),1)</f>
        <v>329</v>
      </c>
      <c r="I310" s="40"/>
      <c r="J310" s="40">
        <f t="shared" si="117"/>
        <v>329</v>
      </c>
      <c r="K310" s="9">
        <f t="shared" si="118"/>
        <v>9</v>
      </c>
      <c r="L310" s="8">
        <f>IF(F310="","NEW",K310/F310)</f>
        <v>2.8125000000000001E-2</v>
      </c>
    </row>
    <row r="311" spans="1:12" s="142" customFormat="1" ht="15.65" customHeight="1" x14ac:dyDescent="0.35">
      <c r="A311" s="37">
        <f t="shared" ref="A311:A312" si="119">A310+1</f>
        <v>233</v>
      </c>
      <c r="B311" s="86" t="s">
        <v>585</v>
      </c>
      <c r="C311" s="16" t="s">
        <v>12</v>
      </c>
      <c r="D311" s="40">
        <v>45</v>
      </c>
      <c r="E311" s="40"/>
      <c r="F311" s="40">
        <f t="shared" si="116"/>
        <v>45</v>
      </c>
      <c r="G311" s="40"/>
      <c r="H311" s="331">
        <f>MROUND((D311*(1+Sheet1!$C$3)),1)</f>
        <v>46</v>
      </c>
      <c r="I311" s="40"/>
      <c r="J311" s="40">
        <f t="shared" si="117"/>
        <v>46</v>
      </c>
      <c r="K311" s="9">
        <f t="shared" si="118"/>
        <v>1</v>
      </c>
      <c r="L311" s="8">
        <f>IF(F311="","NEW",K311/F311)</f>
        <v>2.2222222222222223E-2</v>
      </c>
    </row>
    <row r="312" spans="1:12" s="142" customFormat="1" ht="15.65" customHeight="1" x14ac:dyDescent="0.35">
      <c r="A312" s="37">
        <f t="shared" si="119"/>
        <v>234</v>
      </c>
      <c r="B312" s="86" t="s">
        <v>582</v>
      </c>
      <c r="C312" s="16" t="s">
        <v>12</v>
      </c>
      <c r="D312" s="40">
        <v>32.5</v>
      </c>
      <c r="E312" s="40"/>
      <c r="F312" s="40">
        <f t="shared" si="116"/>
        <v>32.5</v>
      </c>
      <c r="G312" s="40"/>
      <c r="H312" s="331">
        <f>MROUND((D312*(1+Sheet1!$C$3)),1)</f>
        <v>33</v>
      </c>
      <c r="I312" s="40"/>
      <c r="J312" s="40">
        <f t="shared" si="117"/>
        <v>33</v>
      </c>
      <c r="K312" s="9">
        <f t="shared" si="118"/>
        <v>0.5</v>
      </c>
      <c r="L312" s="8">
        <f>IF(F312="","NEW",K312/F312)</f>
        <v>1.5384615384615385E-2</v>
      </c>
    </row>
    <row r="313" spans="1:12" s="142" customFormat="1" ht="17" thickBot="1" x14ac:dyDescent="0.4">
      <c r="A313" s="37"/>
      <c r="B313" s="271" t="s">
        <v>587</v>
      </c>
      <c r="C313" s="16"/>
      <c r="D313" s="40"/>
      <c r="E313" s="40"/>
      <c r="F313" s="40"/>
      <c r="G313" s="40"/>
      <c r="H313" s="40"/>
      <c r="I313" s="40"/>
      <c r="J313" s="40"/>
      <c r="K313" s="9"/>
      <c r="L313" s="137"/>
    </row>
    <row r="314" spans="1:12" s="142" customFormat="1" ht="111.75" customHeight="1" x14ac:dyDescent="0.35">
      <c r="A314" s="37"/>
      <c r="B314" s="590" t="s">
        <v>588</v>
      </c>
      <c r="C314" s="591"/>
      <c r="D314" s="591"/>
      <c r="E314" s="591"/>
      <c r="F314" s="592"/>
      <c r="G314" s="40"/>
      <c r="H314" s="40"/>
      <c r="I314" s="40"/>
      <c r="J314" s="40"/>
      <c r="K314" s="9"/>
      <c r="L314" s="137"/>
    </row>
    <row r="315" spans="1:12" s="142" customFormat="1" ht="15.5" x14ac:dyDescent="0.35">
      <c r="A315" s="37"/>
      <c r="B315" s="309" t="s">
        <v>589</v>
      </c>
      <c r="C315" s="16"/>
      <c r="D315" s="40"/>
      <c r="E315" s="40"/>
      <c r="F315" s="40"/>
      <c r="G315" s="40"/>
      <c r="H315" s="40"/>
      <c r="I315" s="40"/>
      <c r="J315" s="40"/>
      <c r="K315" s="9"/>
      <c r="L315" s="8"/>
    </row>
    <row r="316" spans="1:12" s="142" customFormat="1" ht="15.65" customHeight="1" x14ac:dyDescent="0.35">
      <c r="A316" s="37">
        <f>A312+1</f>
        <v>235</v>
      </c>
      <c r="B316" s="133" t="s">
        <v>590</v>
      </c>
      <c r="C316" s="16" t="s">
        <v>12</v>
      </c>
      <c r="D316" s="40">
        <v>65</v>
      </c>
      <c r="E316" s="40"/>
      <c r="F316" s="40">
        <f t="shared" ref="F316:F318" si="120">SUM(D316:E316)</f>
        <v>65</v>
      </c>
      <c r="G316" s="40"/>
      <c r="H316" s="331">
        <f>MROUND((D316*(1+Sheet1!$C$3)),1)</f>
        <v>67</v>
      </c>
      <c r="I316" s="40"/>
      <c r="J316" s="40">
        <f t="shared" ref="J316:J318" si="121">SUM(H316:I316)</f>
        <v>67</v>
      </c>
      <c r="K316" s="9">
        <f t="shared" ref="K316:K318" si="122">J316-F316</f>
        <v>2</v>
      </c>
      <c r="L316" s="8">
        <f>IF(F316="","NEW",K316/F316)</f>
        <v>3.0769230769230771E-2</v>
      </c>
    </row>
    <row r="317" spans="1:12" s="142" customFormat="1" ht="15.65" customHeight="1" x14ac:dyDescent="0.35">
      <c r="A317" s="37">
        <f t="shared" ref="A317:A322" si="123">A316+1</f>
        <v>236</v>
      </c>
      <c r="B317" s="133" t="s">
        <v>591</v>
      </c>
      <c r="C317" s="16" t="s">
        <v>12</v>
      </c>
      <c r="D317" s="40">
        <v>110</v>
      </c>
      <c r="E317" s="40"/>
      <c r="F317" s="40">
        <f t="shared" si="120"/>
        <v>110</v>
      </c>
      <c r="G317" s="40"/>
      <c r="H317" s="331">
        <f>MROUND((D317*(1+Sheet1!$C$3)),1)</f>
        <v>113</v>
      </c>
      <c r="I317" s="40"/>
      <c r="J317" s="40">
        <f t="shared" si="121"/>
        <v>113</v>
      </c>
      <c r="K317" s="9">
        <f t="shared" si="122"/>
        <v>3</v>
      </c>
      <c r="L317" s="8">
        <f>IF(F317="","NEW",K317/F317)</f>
        <v>2.7272727272727271E-2</v>
      </c>
    </row>
    <row r="318" spans="1:12" s="142" customFormat="1" ht="15.65" customHeight="1" x14ac:dyDescent="0.35">
      <c r="A318" s="37">
        <f t="shared" si="123"/>
        <v>237</v>
      </c>
      <c r="B318" s="133" t="s">
        <v>592</v>
      </c>
      <c r="C318" s="16" t="s">
        <v>12</v>
      </c>
      <c r="D318" s="40">
        <v>18</v>
      </c>
      <c r="E318" s="40"/>
      <c r="F318" s="40">
        <f t="shared" si="120"/>
        <v>18</v>
      </c>
      <c r="G318" s="40"/>
      <c r="H318" s="331">
        <f>MROUND((D318*(1+Sheet1!$C$3)),1)</f>
        <v>18</v>
      </c>
      <c r="I318" s="40"/>
      <c r="J318" s="40">
        <f t="shared" si="121"/>
        <v>18</v>
      </c>
      <c r="K318" s="9">
        <f t="shared" si="122"/>
        <v>0</v>
      </c>
      <c r="L318" s="8">
        <f>IF(F318="","NEW",K318/F318)</f>
        <v>0</v>
      </c>
    </row>
    <row r="319" spans="1:12" s="142" customFormat="1" ht="15.65" customHeight="1" x14ac:dyDescent="0.35">
      <c r="A319" s="37"/>
      <c r="B319" s="310" t="s">
        <v>593</v>
      </c>
      <c r="C319" s="16"/>
      <c r="D319" s="40"/>
      <c r="E319" s="40"/>
      <c r="F319" s="40"/>
      <c r="G319" s="40"/>
      <c r="H319" s="40"/>
      <c r="I319" s="40"/>
      <c r="J319" s="40"/>
      <c r="K319" s="9"/>
      <c r="L319" s="8"/>
    </row>
    <row r="320" spans="1:12" s="142" customFormat="1" ht="15.65" customHeight="1" x14ac:dyDescent="0.35">
      <c r="A320" s="37">
        <f>A318+1</f>
        <v>238</v>
      </c>
      <c r="B320" s="133" t="s">
        <v>590</v>
      </c>
      <c r="C320" s="16" t="s">
        <v>12</v>
      </c>
      <c r="D320" s="40">
        <v>50</v>
      </c>
      <c r="E320" s="40"/>
      <c r="F320" s="40">
        <f t="shared" ref="F320:F322" si="124">SUM(D320:E320)</f>
        <v>50</v>
      </c>
      <c r="G320" s="40"/>
      <c r="H320" s="331">
        <f>MROUND((D320*(1+Sheet1!$C$3)),1)</f>
        <v>51</v>
      </c>
      <c r="I320" s="40"/>
      <c r="J320" s="40">
        <f t="shared" ref="J320:J322" si="125">SUM(H320:I320)</f>
        <v>51</v>
      </c>
      <c r="K320" s="9">
        <f t="shared" ref="K320:K322" si="126">J320-F320</f>
        <v>1</v>
      </c>
      <c r="L320" s="8">
        <f>IF(F320="","NEW",K320/F320)</f>
        <v>0.02</v>
      </c>
    </row>
    <row r="321" spans="1:12" s="142" customFormat="1" ht="15.65" customHeight="1" x14ac:dyDescent="0.35">
      <c r="A321" s="37">
        <f t="shared" si="123"/>
        <v>239</v>
      </c>
      <c r="B321" s="311" t="s">
        <v>591</v>
      </c>
      <c r="C321" s="16" t="s">
        <v>12</v>
      </c>
      <c r="D321" s="40">
        <v>85</v>
      </c>
      <c r="E321" s="40"/>
      <c r="F321" s="40">
        <f t="shared" si="124"/>
        <v>85</v>
      </c>
      <c r="G321" s="40"/>
      <c r="H321" s="331">
        <f>MROUND((D321*(1+Sheet1!$C$3)),1)</f>
        <v>87</v>
      </c>
      <c r="I321" s="40"/>
      <c r="J321" s="40">
        <f t="shared" si="125"/>
        <v>87</v>
      </c>
      <c r="K321" s="9">
        <f t="shared" si="126"/>
        <v>2</v>
      </c>
      <c r="L321" s="8">
        <f>IF(F321="","NEW",K321/F321)</f>
        <v>2.3529411764705882E-2</v>
      </c>
    </row>
    <row r="322" spans="1:12" s="142" customFormat="1" ht="15.65" customHeight="1" x14ac:dyDescent="0.35">
      <c r="A322" s="37">
        <f t="shared" si="123"/>
        <v>240</v>
      </c>
      <c r="B322" s="133" t="s">
        <v>592</v>
      </c>
      <c r="C322" s="16" t="s">
        <v>12</v>
      </c>
      <c r="D322" s="40">
        <v>13.5</v>
      </c>
      <c r="E322" s="40"/>
      <c r="F322" s="40">
        <f t="shared" si="124"/>
        <v>13.5</v>
      </c>
      <c r="G322" s="40"/>
      <c r="H322" s="331">
        <f>MROUND((D322*(1+Sheet1!$C$3)),1)</f>
        <v>14</v>
      </c>
      <c r="I322" s="40"/>
      <c r="J322" s="40">
        <f t="shared" si="125"/>
        <v>14</v>
      </c>
      <c r="K322" s="9">
        <f t="shared" si="126"/>
        <v>0.5</v>
      </c>
      <c r="L322" s="8">
        <f>IF(F322="","NEW",K322/F322)</f>
        <v>3.7037037037037035E-2</v>
      </c>
    </row>
    <row r="323" spans="1:12" s="142" customFormat="1" ht="15.65" customHeight="1" x14ac:dyDescent="0.35">
      <c r="A323" s="37"/>
      <c r="B323" s="133"/>
      <c r="C323" s="16"/>
      <c r="D323" s="40"/>
      <c r="E323" s="40"/>
      <c r="F323" s="40"/>
      <c r="G323" s="40"/>
      <c r="H323" s="40"/>
      <c r="I323" s="40"/>
      <c r="J323" s="40"/>
      <c r="K323" s="9"/>
      <c r="L323" s="8"/>
    </row>
    <row r="324" spans="1:12" ht="17.149999999999999" customHeight="1" thickBot="1" x14ac:dyDescent="0.4">
      <c r="A324" s="136"/>
      <c r="B324" s="271" t="s">
        <v>594</v>
      </c>
      <c r="C324" s="16"/>
      <c r="D324" s="40"/>
      <c r="E324" s="40"/>
      <c r="F324" s="40"/>
      <c r="G324" s="40"/>
      <c r="H324" s="40"/>
      <c r="I324" s="40"/>
      <c r="J324" s="40"/>
      <c r="K324" s="9"/>
      <c r="L324" s="137"/>
    </row>
    <row r="325" spans="1:12" ht="15.65" customHeight="1" x14ac:dyDescent="0.35">
      <c r="A325" s="37">
        <f>A322+1</f>
        <v>241</v>
      </c>
      <c r="B325" s="133" t="s">
        <v>595</v>
      </c>
      <c r="C325" s="16" t="s">
        <v>12</v>
      </c>
      <c r="D325" s="40">
        <v>5.83</v>
      </c>
      <c r="E325" s="40">
        <f t="shared" ref="E325" si="127">ROUND(D325*0.2,2)</f>
        <v>1.17</v>
      </c>
      <c r="F325" s="40">
        <f t="shared" ref="F325" si="128">SUM(D325:E325)</f>
        <v>7</v>
      </c>
      <c r="G325" s="40"/>
      <c r="H325" s="331">
        <f>MROUND((D325*(1+Sheet1!$C$3)),1)-0.17</f>
        <v>5.83</v>
      </c>
      <c r="I325" s="40">
        <f t="shared" ref="I325:I326" si="129">ROUND(H325*0.2,2)</f>
        <v>1.17</v>
      </c>
      <c r="J325" s="40">
        <f>SUM(H325:I325)</f>
        <v>7</v>
      </c>
      <c r="K325" s="9">
        <f>J325-F325</f>
        <v>0</v>
      </c>
      <c r="L325" s="8">
        <f>IF(F325="","NEW",K325/F325)</f>
        <v>0</v>
      </c>
    </row>
    <row r="326" spans="1:12" ht="15.65" customHeight="1" x14ac:dyDescent="0.35">
      <c r="A326" s="37">
        <f t="shared" ref="A326" si="130">+A325+1</f>
        <v>242</v>
      </c>
      <c r="B326" s="133" t="s">
        <v>596</v>
      </c>
      <c r="C326" s="16" t="s">
        <v>12</v>
      </c>
      <c r="D326" s="40">
        <v>11.25</v>
      </c>
      <c r="E326" s="40">
        <f>ROUND(D326*0.2,2)</f>
        <v>2.25</v>
      </c>
      <c r="F326" s="40">
        <f>SUM(D326:E326)</f>
        <v>13.5</v>
      </c>
      <c r="G326" s="40"/>
      <c r="H326" s="331">
        <f>MROUND((D326*(1+Sheet1!$C$3)),1)-0.33</f>
        <v>11.67</v>
      </c>
      <c r="I326" s="40">
        <f t="shared" si="129"/>
        <v>2.33</v>
      </c>
      <c r="J326" s="40">
        <f>SUM(H326:I326)</f>
        <v>14</v>
      </c>
      <c r="K326" s="9">
        <f>J326-F326</f>
        <v>0.5</v>
      </c>
      <c r="L326" s="8">
        <f>IF(F326="","NEW",K326/F326)</f>
        <v>3.7037037037037035E-2</v>
      </c>
    </row>
    <row r="327" spans="1:12" ht="15.65" customHeight="1" x14ac:dyDescent="0.35">
      <c r="A327" s="37"/>
      <c r="B327" s="133"/>
      <c r="C327" s="16"/>
      <c r="D327" s="40"/>
      <c r="E327" s="40"/>
      <c r="F327" s="40"/>
      <c r="G327" s="40"/>
      <c r="H327" s="40"/>
      <c r="I327" s="40"/>
      <c r="J327" s="40"/>
      <c r="K327" s="9"/>
      <c r="L327" s="8"/>
    </row>
    <row r="328" spans="1:12" ht="17.149999999999999" customHeight="1" thickBot="1" x14ac:dyDescent="0.4">
      <c r="A328" s="37"/>
      <c r="B328" s="271" t="s">
        <v>597</v>
      </c>
      <c r="C328" s="16"/>
      <c r="D328" s="40"/>
      <c r="E328" s="40"/>
      <c r="F328" s="40"/>
      <c r="G328" s="40"/>
      <c r="H328" s="40"/>
      <c r="I328" s="40"/>
      <c r="J328" s="40"/>
      <c r="K328" s="9"/>
      <c r="L328" s="137"/>
    </row>
    <row r="329" spans="1:12" ht="31" customHeight="1" x14ac:dyDescent="0.35">
      <c r="A329" s="37">
        <f>A326+1</f>
        <v>243</v>
      </c>
      <c r="B329" s="133" t="s">
        <v>598</v>
      </c>
      <c r="C329" s="16" t="s">
        <v>12</v>
      </c>
      <c r="D329" s="40">
        <v>32</v>
      </c>
      <c r="E329" s="40"/>
      <c r="F329" s="40">
        <f>SUM(D329:E329)</f>
        <v>32</v>
      </c>
      <c r="G329" s="40"/>
      <c r="H329" s="331">
        <f>MROUND((D329*(1+Sheet1!$C$3)),1)</f>
        <v>33</v>
      </c>
      <c r="I329" s="40"/>
      <c r="J329" s="40">
        <f t="shared" ref="J329" si="131">SUM(H329:I329)</f>
        <v>33</v>
      </c>
      <c r="K329" s="9">
        <f>J329-F329</f>
        <v>1</v>
      </c>
      <c r="L329" s="8">
        <f>IF(F329="","NEW",K329/F329)</f>
        <v>3.125E-2</v>
      </c>
    </row>
    <row r="330" spans="1:12" ht="15.65" customHeight="1" x14ac:dyDescent="0.35">
      <c r="A330" s="37">
        <f>A329+1</f>
        <v>244</v>
      </c>
      <c r="B330" s="133" t="s">
        <v>599</v>
      </c>
      <c r="C330" s="16" t="s">
        <v>12</v>
      </c>
      <c r="D330" s="40">
        <v>38</v>
      </c>
      <c r="E330" s="40"/>
      <c r="F330" s="40">
        <f>SUM(D330:E330)</f>
        <v>38</v>
      </c>
      <c r="G330" s="40"/>
      <c r="H330" s="331">
        <f>MROUND((D330*(1+Sheet1!$C$3)),1)</f>
        <v>39</v>
      </c>
      <c r="I330" s="40"/>
      <c r="J330" s="40">
        <f t="shared" ref="J330:J331" si="132">SUM(H330:I330)</f>
        <v>39</v>
      </c>
      <c r="K330" s="9">
        <f>J330-F330</f>
        <v>1</v>
      </c>
      <c r="L330" s="8">
        <f>IF(F330="","NEW",K330/F330)</f>
        <v>2.6315789473684209E-2</v>
      </c>
    </row>
    <row r="331" spans="1:12" s="35" customFormat="1" ht="15.65" customHeight="1" x14ac:dyDescent="0.25">
      <c r="A331" s="37">
        <f>A330+1</f>
        <v>245</v>
      </c>
      <c r="B331" s="133" t="s">
        <v>600</v>
      </c>
      <c r="C331" s="16" t="s">
        <v>12</v>
      </c>
      <c r="D331" s="40">
        <v>19</v>
      </c>
      <c r="E331" s="40"/>
      <c r="F331" s="40">
        <f>SUM(D331:E331)</f>
        <v>19</v>
      </c>
      <c r="G331" s="40"/>
      <c r="H331" s="331">
        <f>MROUND((D331*(1+Sheet1!$C$3)),1)</f>
        <v>20</v>
      </c>
      <c r="I331" s="40"/>
      <c r="J331" s="40">
        <f t="shared" si="132"/>
        <v>20</v>
      </c>
      <c r="K331" s="9">
        <f>J331-F331</f>
        <v>1</v>
      </c>
      <c r="L331" s="8">
        <f>IF(F331="","NEW",K331/F331)</f>
        <v>5.2631578947368418E-2</v>
      </c>
    </row>
    <row r="332" spans="1:12" s="35" customFormat="1" ht="15.65" customHeight="1" x14ac:dyDescent="0.25">
      <c r="A332" s="136"/>
      <c r="B332" s="133"/>
      <c r="C332" s="16"/>
      <c r="D332" s="40"/>
      <c r="E332" s="40"/>
      <c r="F332" s="40"/>
      <c r="G332" s="40"/>
      <c r="H332" s="40"/>
      <c r="I332" s="40"/>
      <c r="J332" s="40"/>
      <c r="K332" s="9"/>
      <c r="L332" s="137"/>
    </row>
    <row r="333" spans="1:12" s="35" customFormat="1" ht="17.149999999999999" customHeight="1" thickBot="1" x14ac:dyDescent="0.4">
      <c r="A333" s="158"/>
      <c r="B333" s="276" t="s">
        <v>601</v>
      </c>
      <c r="C333" s="16"/>
      <c r="D333" s="40"/>
      <c r="E333" s="40"/>
      <c r="F333" s="40"/>
      <c r="G333" s="40"/>
      <c r="H333" s="40"/>
      <c r="I333" s="40"/>
      <c r="J333" s="40"/>
      <c r="K333" s="9"/>
      <c r="L333" s="137"/>
    </row>
    <row r="334" spans="1:12" s="35" customFormat="1" ht="15.65" customHeight="1" x14ac:dyDescent="0.25">
      <c r="A334" s="37">
        <f>A331+1</f>
        <v>246</v>
      </c>
      <c r="B334" s="133" t="s">
        <v>602</v>
      </c>
      <c r="C334" s="16" t="s">
        <v>12</v>
      </c>
      <c r="D334" s="40">
        <v>28.5</v>
      </c>
      <c r="E334" s="40"/>
      <c r="F334" s="40">
        <f>SUM(D334:E334)</f>
        <v>28.5</v>
      </c>
      <c r="G334" s="40"/>
      <c r="H334" s="331">
        <f>MROUND((D334*(1+Sheet1!$C$3)),1)</f>
        <v>29</v>
      </c>
      <c r="I334" s="40"/>
      <c r="J334" s="40">
        <f t="shared" ref="J334:J335" si="133">SUM(H334:I334)</f>
        <v>29</v>
      </c>
      <c r="K334" s="9">
        <f>J334-F334</f>
        <v>0.5</v>
      </c>
      <c r="L334" s="8">
        <f>IF(F334="","NEW",K334/F334)</f>
        <v>1.7543859649122806E-2</v>
      </c>
    </row>
    <row r="335" spans="1:12" s="35" customFormat="1" ht="15.65" customHeight="1" x14ac:dyDescent="0.25">
      <c r="A335" s="37">
        <f>+A334+1</f>
        <v>247</v>
      </c>
      <c r="B335" s="133" t="s">
        <v>603</v>
      </c>
      <c r="C335" s="16" t="s">
        <v>12</v>
      </c>
      <c r="D335" s="40">
        <v>50</v>
      </c>
      <c r="E335" s="40"/>
      <c r="F335" s="40">
        <f>SUM(D335:E335)</f>
        <v>50</v>
      </c>
      <c r="G335" s="40"/>
      <c r="H335" s="331">
        <f>MROUND((D335*(1+Sheet1!$C$3)),1)</f>
        <v>51</v>
      </c>
      <c r="I335" s="40"/>
      <c r="J335" s="40">
        <f t="shared" si="133"/>
        <v>51</v>
      </c>
      <c r="K335" s="9">
        <f>J335-F335</f>
        <v>1</v>
      </c>
      <c r="L335" s="8">
        <f>IF(F335="","NEW",K335/F335)</f>
        <v>0.02</v>
      </c>
    </row>
    <row r="336" spans="1:12" s="35" customFormat="1" ht="15.65" customHeight="1" x14ac:dyDescent="0.25">
      <c r="A336" s="37" t="s">
        <v>421</v>
      </c>
      <c r="B336" s="133"/>
      <c r="C336" s="16"/>
      <c r="D336" s="40"/>
      <c r="E336" s="40"/>
      <c r="F336" s="40"/>
      <c r="G336" s="40"/>
      <c r="H336" s="40"/>
      <c r="I336" s="40"/>
      <c r="J336" s="40"/>
      <c r="K336" s="9"/>
      <c r="L336" s="8"/>
    </row>
    <row r="337" spans="1:12" s="35" customFormat="1" ht="17.149999999999999" customHeight="1" thickBot="1" x14ac:dyDescent="0.4">
      <c r="A337" s="158"/>
      <c r="B337" s="276" t="s">
        <v>604</v>
      </c>
      <c r="C337" s="16"/>
      <c r="D337" s="40"/>
      <c r="E337" s="40"/>
      <c r="F337" s="40"/>
      <c r="G337" s="40"/>
      <c r="H337" s="40"/>
      <c r="I337" s="40"/>
      <c r="J337" s="40"/>
      <c r="K337" s="9"/>
      <c r="L337" s="8"/>
    </row>
    <row r="338" spans="1:12" s="35" customFormat="1" ht="15.65" customHeight="1" x14ac:dyDescent="0.25">
      <c r="A338" s="37">
        <f>A335+1</f>
        <v>248</v>
      </c>
      <c r="B338" s="133" t="s">
        <v>605</v>
      </c>
      <c r="C338" s="16" t="s">
        <v>12</v>
      </c>
      <c r="D338" s="40">
        <v>163</v>
      </c>
      <c r="E338" s="40"/>
      <c r="F338" s="40">
        <f>SUM(D338:E338)</f>
        <v>163</v>
      </c>
      <c r="G338" s="40"/>
      <c r="H338" s="331">
        <f>MROUND((D338*(1+Sheet1!$C$3)),1)</f>
        <v>167</v>
      </c>
      <c r="I338" s="40"/>
      <c r="J338" s="40">
        <f t="shared" ref="J338:J339" si="134">SUM(H338:I338)</f>
        <v>167</v>
      </c>
      <c r="K338" s="9">
        <f>J338-F338</f>
        <v>4</v>
      </c>
      <c r="L338" s="8">
        <f>IF(F338="","NEW",K338/F338)</f>
        <v>2.4539877300613498E-2</v>
      </c>
    </row>
    <row r="339" spans="1:12" s="35" customFormat="1" ht="15.65" customHeight="1" x14ac:dyDescent="0.25">
      <c r="A339" s="37">
        <f>A338+1</f>
        <v>249</v>
      </c>
      <c r="B339" s="133" t="s">
        <v>606</v>
      </c>
      <c r="C339" s="16" t="s">
        <v>12</v>
      </c>
      <c r="D339" s="40">
        <v>95</v>
      </c>
      <c r="E339" s="40"/>
      <c r="F339" s="40">
        <f>SUM(D339:E339)</f>
        <v>95</v>
      </c>
      <c r="G339" s="40"/>
      <c r="H339" s="331">
        <f>MROUND((D339*(1+Sheet1!$C$3)),1)</f>
        <v>98</v>
      </c>
      <c r="I339" s="40"/>
      <c r="J339" s="40">
        <f t="shared" si="134"/>
        <v>98</v>
      </c>
      <c r="K339" s="9">
        <f>J339-F339</f>
        <v>3</v>
      </c>
      <c r="L339" s="8">
        <f>IF(F339="","NEW",K339/F339)</f>
        <v>3.1578947368421054E-2</v>
      </c>
    </row>
    <row r="340" spans="1:12" s="35" customFormat="1" ht="15.5" x14ac:dyDescent="0.25">
      <c r="A340" s="37">
        <f>A339+1</f>
        <v>250</v>
      </c>
      <c r="B340" s="133" t="s">
        <v>607</v>
      </c>
      <c r="C340" s="16" t="s">
        <v>12</v>
      </c>
      <c r="D340" s="40"/>
      <c r="E340" s="40"/>
      <c r="F340" s="40"/>
      <c r="G340" s="40"/>
      <c r="H340" s="40"/>
      <c r="I340" s="40"/>
      <c r="J340" s="40"/>
      <c r="K340" s="9"/>
      <c r="L340" s="8"/>
    </row>
    <row r="341" spans="1:12" s="35" customFormat="1" ht="15.5" x14ac:dyDescent="0.25">
      <c r="A341" s="37"/>
      <c r="B341" s="133"/>
      <c r="C341" s="16"/>
      <c r="D341" s="40"/>
      <c r="E341" s="40"/>
      <c r="F341" s="40"/>
      <c r="G341" s="40"/>
      <c r="H341" s="40"/>
      <c r="I341" s="40"/>
      <c r="J341" s="40"/>
      <c r="K341" s="9"/>
      <c r="L341" s="8"/>
    </row>
    <row r="342" spans="1:12" s="35" customFormat="1" ht="50" thickBot="1" x14ac:dyDescent="0.4">
      <c r="A342" s="37"/>
      <c r="B342" s="276" t="s">
        <v>608</v>
      </c>
      <c r="C342" s="16"/>
      <c r="D342" s="40"/>
      <c r="E342" s="40"/>
      <c r="F342" s="40"/>
      <c r="G342" s="40"/>
      <c r="H342" s="40"/>
      <c r="I342" s="40"/>
      <c r="J342" s="40"/>
      <c r="K342" s="9"/>
      <c r="L342" s="137"/>
    </row>
    <row r="343" spans="1:12" s="35" customFormat="1" ht="15.5" x14ac:dyDescent="0.25">
      <c r="A343" s="37"/>
      <c r="B343" s="133" t="s">
        <v>609</v>
      </c>
      <c r="C343" s="16"/>
      <c r="D343" s="40"/>
      <c r="E343" s="40"/>
      <c r="F343" s="40"/>
      <c r="G343" s="40"/>
      <c r="H343" s="40"/>
      <c r="I343" s="40"/>
      <c r="J343" s="40"/>
      <c r="K343" s="9"/>
      <c r="L343" s="137"/>
    </row>
    <row r="344" spans="1:12" s="35" customFormat="1" ht="15.65" customHeight="1" x14ac:dyDescent="0.25">
      <c r="A344" s="37">
        <f>A340+1</f>
        <v>251</v>
      </c>
      <c r="B344" s="133" t="s">
        <v>610</v>
      </c>
      <c r="C344" s="16" t="s">
        <v>12</v>
      </c>
      <c r="D344" s="40">
        <v>155</v>
      </c>
      <c r="E344" s="40"/>
      <c r="F344" s="40">
        <f t="shared" ref="F344:F348" si="135">SUM(D344:E344)</f>
        <v>155</v>
      </c>
      <c r="G344" s="40"/>
      <c r="H344" s="331">
        <f>MROUND((D344*(1+Sheet1!$C$3)),1)</f>
        <v>159</v>
      </c>
      <c r="I344" s="40"/>
      <c r="J344" s="40">
        <f t="shared" ref="J344:J348" si="136">SUM(H344:I344)</f>
        <v>159</v>
      </c>
      <c r="K344" s="9">
        <f t="shared" ref="K344:K348" si="137">J344-F344</f>
        <v>4</v>
      </c>
      <c r="L344" s="8">
        <f t="shared" ref="L344:L348" si="138">IF(F344="","NEW",K344/F344)</f>
        <v>2.5806451612903226E-2</v>
      </c>
    </row>
    <row r="345" spans="1:12" s="35" customFormat="1" ht="15.65" customHeight="1" x14ac:dyDescent="0.25">
      <c r="A345" s="37">
        <f t="shared" ref="A345:A348" si="139">A344+1</f>
        <v>252</v>
      </c>
      <c r="B345" s="133" t="s">
        <v>611</v>
      </c>
      <c r="C345" s="16" t="s">
        <v>12</v>
      </c>
      <c r="D345" s="40">
        <v>92.5</v>
      </c>
      <c r="E345" s="40"/>
      <c r="F345" s="40">
        <f t="shared" si="135"/>
        <v>92.5</v>
      </c>
      <c r="G345" s="40"/>
      <c r="H345" s="331">
        <f>MROUND((D345*(1+Sheet1!$C$3)),1)</f>
        <v>95</v>
      </c>
      <c r="I345" s="40"/>
      <c r="J345" s="40">
        <f t="shared" si="136"/>
        <v>95</v>
      </c>
      <c r="K345" s="9">
        <f t="shared" si="137"/>
        <v>2.5</v>
      </c>
      <c r="L345" s="8">
        <f t="shared" si="138"/>
        <v>2.7027027027027029E-2</v>
      </c>
    </row>
    <row r="346" spans="1:12" s="35" customFormat="1" ht="15.65" customHeight="1" x14ac:dyDescent="0.25">
      <c r="A346" s="37">
        <f t="shared" si="139"/>
        <v>253</v>
      </c>
      <c r="B346" s="133" t="s">
        <v>612</v>
      </c>
      <c r="C346" s="16" t="s">
        <v>12</v>
      </c>
      <c r="D346" s="40">
        <v>55</v>
      </c>
      <c r="E346" s="40"/>
      <c r="F346" s="40">
        <f t="shared" si="135"/>
        <v>55</v>
      </c>
      <c r="G346" s="40"/>
      <c r="H346" s="331">
        <f>MROUND((D346*(1+Sheet1!$C$3)),1)</f>
        <v>57</v>
      </c>
      <c r="I346" s="40"/>
      <c r="J346" s="40">
        <f t="shared" si="136"/>
        <v>57</v>
      </c>
      <c r="K346" s="9">
        <f t="shared" si="137"/>
        <v>2</v>
      </c>
      <c r="L346" s="8">
        <f t="shared" si="138"/>
        <v>3.6363636363636362E-2</v>
      </c>
    </row>
    <row r="347" spans="1:12" s="35" customFormat="1" ht="15.65" customHeight="1" x14ac:dyDescent="0.25">
      <c r="A347" s="37">
        <f t="shared" si="139"/>
        <v>254</v>
      </c>
      <c r="B347" s="133" t="s">
        <v>613</v>
      </c>
      <c r="C347" s="16" t="s">
        <v>12</v>
      </c>
      <c r="D347" s="40">
        <v>44</v>
      </c>
      <c r="E347" s="40"/>
      <c r="F347" s="40">
        <f t="shared" si="135"/>
        <v>44</v>
      </c>
      <c r="G347" s="40"/>
      <c r="H347" s="331">
        <f>MROUND((D347*(1+Sheet1!$C$3)),1)</f>
        <v>45</v>
      </c>
      <c r="I347" s="40"/>
      <c r="J347" s="40">
        <f t="shared" si="136"/>
        <v>45</v>
      </c>
      <c r="K347" s="9">
        <f t="shared" si="137"/>
        <v>1</v>
      </c>
      <c r="L347" s="8">
        <f t="shared" si="138"/>
        <v>2.2727272727272728E-2</v>
      </c>
    </row>
    <row r="348" spans="1:12" s="35" customFormat="1" ht="15.65" customHeight="1" x14ac:dyDescent="0.25">
      <c r="A348" s="37">
        <f t="shared" si="139"/>
        <v>255</v>
      </c>
      <c r="B348" s="133" t="s">
        <v>614</v>
      </c>
      <c r="C348" s="16" t="s">
        <v>12</v>
      </c>
      <c r="D348" s="40">
        <v>77.5</v>
      </c>
      <c r="E348" s="40"/>
      <c r="F348" s="40">
        <f t="shared" si="135"/>
        <v>77.5</v>
      </c>
      <c r="G348" s="40"/>
      <c r="H348" s="331">
        <f>MROUND((D348*(1+Sheet1!$C$3)),1)</f>
        <v>80</v>
      </c>
      <c r="I348" s="40"/>
      <c r="J348" s="40">
        <f t="shared" si="136"/>
        <v>80</v>
      </c>
      <c r="K348" s="9">
        <f t="shared" si="137"/>
        <v>2.5</v>
      </c>
      <c r="L348" s="8">
        <f t="shared" si="138"/>
        <v>3.2258064516129031E-2</v>
      </c>
    </row>
    <row r="349" spans="1:12" s="35" customFormat="1" ht="15.65" customHeight="1" x14ac:dyDescent="0.25">
      <c r="A349" s="37"/>
      <c r="B349" s="133"/>
      <c r="C349" s="16"/>
      <c r="D349" s="40"/>
      <c r="E349" s="40"/>
      <c r="F349" s="40"/>
      <c r="G349" s="40"/>
      <c r="H349" s="40"/>
      <c r="I349" s="40"/>
      <c r="J349" s="40"/>
      <c r="K349" s="9"/>
      <c r="L349" s="8"/>
    </row>
    <row r="350" spans="1:12" s="35" customFormat="1" ht="17.149999999999999" customHeight="1" thickBot="1" x14ac:dyDescent="0.4">
      <c r="A350" s="158"/>
      <c r="B350" s="276" t="s">
        <v>615</v>
      </c>
      <c r="C350" s="16"/>
      <c r="D350" s="40"/>
      <c r="E350" s="40"/>
      <c r="F350" s="40"/>
      <c r="G350" s="40"/>
      <c r="H350" s="40"/>
      <c r="I350" s="40"/>
      <c r="J350" s="40"/>
      <c r="K350" s="9"/>
      <c r="L350" s="137"/>
    </row>
    <row r="351" spans="1:12" s="35" customFormat="1" ht="30" customHeight="1" x14ac:dyDescent="0.25">
      <c r="A351" s="37">
        <f>A348+1</f>
        <v>256</v>
      </c>
      <c r="B351" s="133" t="s">
        <v>616</v>
      </c>
      <c r="C351" s="16" t="s">
        <v>12</v>
      </c>
      <c r="D351" s="40"/>
      <c r="E351" s="40"/>
      <c r="F351" s="40"/>
      <c r="G351" s="40"/>
      <c r="H351" s="40"/>
      <c r="I351" s="40"/>
      <c r="J351" s="40"/>
      <c r="K351" s="9"/>
      <c r="L351" s="8"/>
    </row>
    <row r="352" spans="1:12" s="35" customFormat="1" ht="15" customHeight="1" x14ac:dyDescent="0.25">
      <c r="A352" s="37">
        <f>A351+1</f>
        <v>257</v>
      </c>
      <c r="B352" s="133" t="s">
        <v>617</v>
      </c>
      <c r="C352" s="16" t="s">
        <v>12</v>
      </c>
      <c r="D352" s="40">
        <v>2.08</v>
      </c>
      <c r="E352" s="40">
        <f>ROUND(D352*0.2,2)</f>
        <v>0.42</v>
      </c>
      <c r="F352" s="40">
        <f>SUM(D352:E352)</f>
        <v>2.5</v>
      </c>
      <c r="G352" s="40"/>
      <c r="H352" s="331">
        <f>MROUND((D352*(1+Sheet1!$C$3)),1)+0.5</f>
        <v>2.5</v>
      </c>
      <c r="I352" s="40">
        <f>ROUND(H352*0.2,2)</f>
        <v>0.5</v>
      </c>
      <c r="J352" s="40">
        <f t="shared" ref="J352" si="140">SUM(H352:I352)</f>
        <v>3</v>
      </c>
      <c r="K352" s="9">
        <f>J352-F352</f>
        <v>0.5</v>
      </c>
      <c r="L352" s="8">
        <f>IF(F352="","NEW",K352/F352)</f>
        <v>0.2</v>
      </c>
    </row>
    <row r="353" spans="1:12" s="35" customFormat="1" ht="15" customHeight="1" x14ac:dyDescent="0.25">
      <c r="A353" s="37"/>
      <c r="B353" s="133"/>
      <c r="C353" s="16"/>
      <c r="D353" s="40"/>
      <c r="E353" s="40"/>
      <c r="F353" s="40"/>
      <c r="G353" s="40"/>
      <c r="H353" s="40"/>
      <c r="I353" s="40"/>
      <c r="J353" s="40"/>
      <c r="K353" s="9"/>
      <c r="L353" s="8"/>
    </row>
    <row r="354" spans="1:12" s="35" customFormat="1" ht="15" customHeight="1" thickBot="1" x14ac:dyDescent="0.3">
      <c r="A354" s="158"/>
      <c r="B354" s="271" t="s">
        <v>618</v>
      </c>
      <c r="C354" s="16"/>
      <c r="D354" s="40"/>
      <c r="E354" s="40"/>
      <c r="F354" s="40"/>
      <c r="G354" s="40"/>
      <c r="H354" s="40"/>
      <c r="I354" s="40"/>
      <c r="J354" s="40"/>
      <c r="K354" s="9"/>
      <c r="L354" s="8"/>
    </row>
    <row r="355" spans="1:12" s="35" customFormat="1" ht="15" customHeight="1" x14ac:dyDescent="0.25">
      <c r="A355" s="37">
        <f>A352+1</f>
        <v>258</v>
      </c>
      <c r="B355" s="86" t="s">
        <v>619</v>
      </c>
      <c r="C355" s="16" t="s">
        <v>12</v>
      </c>
      <c r="D355" s="40">
        <v>23.5</v>
      </c>
      <c r="E355" s="105"/>
      <c r="F355" s="40">
        <f>SUM(D355:E355)</f>
        <v>23.5</v>
      </c>
      <c r="G355" s="105"/>
      <c r="H355" s="331">
        <f>MROUND((D355*(1+Sheet1!$C$3)),1)</f>
        <v>24</v>
      </c>
      <c r="I355" s="40"/>
      <c r="J355" s="40">
        <f t="shared" ref="J355" si="141">SUM(H355:I355)</f>
        <v>24</v>
      </c>
      <c r="K355" s="9">
        <f>J355-F355</f>
        <v>0.5</v>
      </c>
      <c r="L355" s="8">
        <f>IF(F355="","NEW",K355/F355)</f>
        <v>2.1276595744680851E-2</v>
      </c>
    </row>
    <row r="356" spans="1:12" s="35" customFormat="1" ht="15" customHeight="1" x14ac:dyDescent="0.25">
      <c r="A356" s="136"/>
      <c r="B356" s="86"/>
      <c r="C356" s="16"/>
      <c r="D356" s="40"/>
      <c r="E356" s="105"/>
      <c r="F356" s="40"/>
      <c r="G356" s="105"/>
      <c r="H356" s="40"/>
      <c r="I356" s="105"/>
      <c r="J356" s="40"/>
      <c r="K356" s="9"/>
      <c r="L356" s="8"/>
    </row>
    <row r="357" spans="1:12" s="35" customFormat="1" ht="15" customHeight="1" thickBot="1" x14ac:dyDescent="0.3">
      <c r="A357" s="136"/>
      <c r="B357" s="269" t="s">
        <v>620</v>
      </c>
      <c r="C357" s="16"/>
      <c r="D357" s="105"/>
      <c r="E357" s="105"/>
      <c r="F357" s="105"/>
      <c r="G357" s="105"/>
      <c r="H357" s="105"/>
      <c r="I357" s="105"/>
      <c r="J357" s="105"/>
      <c r="K357" s="9"/>
      <c r="L357" s="8"/>
    </row>
    <row r="358" spans="1:12" s="35" customFormat="1" ht="15" customHeight="1" thickTop="1" thickBot="1" x14ac:dyDescent="0.3">
      <c r="A358" s="158"/>
      <c r="B358" s="271" t="s">
        <v>528</v>
      </c>
      <c r="C358" s="16"/>
      <c r="D358" s="149"/>
      <c r="E358" s="149"/>
      <c r="F358" s="40"/>
      <c r="G358" s="149"/>
      <c r="H358" s="149"/>
      <c r="I358" s="149"/>
      <c r="J358" s="40"/>
      <c r="K358" s="9"/>
      <c r="L358" s="8"/>
    </row>
    <row r="359" spans="1:12" s="35" customFormat="1" ht="15.65" customHeight="1" x14ac:dyDescent="0.25">
      <c r="A359" s="37">
        <f>A355+1</f>
        <v>259</v>
      </c>
      <c r="B359" s="133" t="s">
        <v>621</v>
      </c>
      <c r="C359" s="16" t="s">
        <v>12</v>
      </c>
      <c r="D359" s="40">
        <v>9.9</v>
      </c>
      <c r="E359" s="40"/>
      <c r="F359" s="40">
        <f t="shared" ref="F359:F361" si="142">SUM(D359:E359)</f>
        <v>9.9</v>
      </c>
      <c r="G359" s="40"/>
      <c r="H359" s="331">
        <f>MROUND((D359*(1+Sheet1!$C$3)),1)</f>
        <v>10</v>
      </c>
      <c r="I359" s="40"/>
      <c r="J359" s="40">
        <f t="shared" ref="J359:J361" si="143">SUM(H359:I359)</f>
        <v>10</v>
      </c>
      <c r="K359" s="9">
        <f>J359-F359</f>
        <v>9.9999999999999645E-2</v>
      </c>
      <c r="L359" s="8">
        <f>IF(F359="","NEW",K359/F359)</f>
        <v>1.0101010101010065E-2</v>
      </c>
    </row>
    <row r="360" spans="1:12" s="35" customFormat="1" ht="15.65" customHeight="1" x14ac:dyDescent="0.25">
      <c r="A360" s="37">
        <f>A359+1</f>
        <v>260</v>
      </c>
      <c r="B360" s="133" t="s">
        <v>622</v>
      </c>
      <c r="C360" s="16" t="s">
        <v>12</v>
      </c>
      <c r="D360" s="40">
        <v>7.7000000000000011</v>
      </c>
      <c r="E360" s="40"/>
      <c r="F360" s="40">
        <f t="shared" si="142"/>
        <v>7.7000000000000011</v>
      </c>
      <c r="G360" s="40"/>
      <c r="H360" s="331">
        <f>MROUND((D360*(1+Sheet1!$C$3)),1)</f>
        <v>8</v>
      </c>
      <c r="I360" s="40"/>
      <c r="J360" s="40">
        <f t="shared" si="143"/>
        <v>8</v>
      </c>
      <c r="K360" s="9">
        <f>J360-F360</f>
        <v>0.29999999999999893</v>
      </c>
      <c r="L360" s="8">
        <f>IF(F360="","NEW",K360/F360)</f>
        <v>3.8961038961038814E-2</v>
      </c>
    </row>
    <row r="361" spans="1:12" s="35" customFormat="1" ht="15.65" customHeight="1" x14ac:dyDescent="0.25">
      <c r="A361" s="37">
        <f t="shared" ref="A361:A371" si="144">A360+1</f>
        <v>261</v>
      </c>
      <c r="B361" s="133" t="s">
        <v>623</v>
      </c>
      <c r="C361" s="16" t="s">
        <v>12</v>
      </c>
      <c r="D361" s="40">
        <v>0</v>
      </c>
      <c r="E361" s="40"/>
      <c r="F361" s="40">
        <f t="shared" si="142"/>
        <v>0</v>
      </c>
      <c r="G361" s="40"/>
      <c r="H361" s="40">
        <v>0</v>
      </c>
      <c r="I361" s="40"/>
      <c r="J361" s="40">
        <f t="shared" si="143"/>
        <v>0</v>
      </c>
      <c r="K361" s="9">
        <f>J361-F361</f>
        <v>0</v>
      </c>
      <c r="L361" s="8">
        <v>0</v>
      </c>
    </row>
    <row r="362" spans="1:12" s="35" customFormat="1" ht="31" customHeight="1" x14ac:dyDescent="0.25">
      <c r="A362" s="37">
        <f t="shared" si="144"/>
        <v>262</v>
      </c>
      <c r="B362" s="86" t="s">
        <v>624</v>
      </c>
      <c r="C362" s="16" t="s">
        <v>12</v>
      </c>
      <c r="D362" s="40">
        <v>220.00000000000003</v>
      </c>
      <c r="E362" s="40"/>
      <c r="F362" s="40">
        <f t="shared" ref="F362:F363" si="145">SUM(D362:E362)</f>
        <v>220.00000000000003</v>
      </c>
      <c r="G362" s="105"/>
      <c r="H362" s="331">
        <f>MROUND((D362*(1+Sheet1!$C$3)),1)</f>
        <v>226</v>
      </c>
      <c r="I362" s="40"/>
      <c r="J362" s="40">
        <f t="shared" ref="J362:J363" si="146">SUM(H362:I362)</f>
        <v>226</v>
      </c>
      <c r="K362" s="9">
        <f>J362-F362</f>
        <v>5.9999999999999716</v>
      </c>
      <c r="L362" s="8">
        <f>IF(F362="","NEW",K362/F362)</f>
        <v>2.727272727272714E-2</v>
      </c>
    </row>
    <row r="363" spans="1:12" s="35" customFormat="1" ht="15.65" customHeight="1" x14ac:dyDescent="0.25">
      <c r="A363" s="37">
        <f t="shared" si="144"/>
        <v>263</v>
      </c>
      <c r="B363" s="86" t="s">
        <v>625</v>
      </c>
      <c r="C363" s="16" t="s">
        <v>12</v>
      </c>
      <c r="D363" s="40">
        <v>440.00000000000006</v>
      </c>
      <c r="E363" s="40"/>
      <c r="F363" s="40">
        <f t="shared" si="145"/>
        <v>440.00000000000006</v>
      </c>
      <c r="G363" s="105"/>
      <c r="H363" s="331">
        <f>MROUND((D363*(1+Sheet1!$C$3)),1)</f>
        <v>452</v>
      </c>
      <c r="I363" s="40"/>
      <c r="J363" s="40">
        <f t="shared" si="146"/>
        <v>452</v>
      </c>
      <c r="K363" s="9">
        <f>J363-F363</f>
        <v>11.999999999999943</v>
      </c>
      <c r="L363" s="8">
        <f>IF(F363="","NEW",K363/F363)</f>
        <v>2.727272727272714E-2</v>
      </c>
    </row>
    <row r="364" spans="1:12" s="35" customFormat="1" ht="15.65" customHeight="1" x14ac:dyDescent="0.25">
      <c r="A364" s="37">
        <f t="shared" si="144"/>
        <v>264</v>
      </c>
      <c r="B364" s="133" t="s">
        <v>626</v>
      </c>
      <c r="C364" s="16" t="s">
        <v>12</v>
      </c>
      <c r="D364" s="584" t="s">
        <v>103</v>
      </c>
      <c r="E364" s="585"/>
      <c r="F364" s="586"/>
      <c r="G364" s="40"/>
      <c r="H364" s="584" t="s">
        <v>103</v>
      </c>
      <c r="I364" s="585"/>
      <c r="J364" s="586"/>
      <c r="K364" s="9"/>
      <c r="L364" s="8"/>
    </row>
    <row r="365" spans="1:12" s="35" customFormat="1" ht="15.65" customHeight="1" x14ac:dyDescent="0.25">
      <c r="A365" s="37">
        <f t="shared" si="144"/>
        <v>265</v>
      </c>
      <c r="B365" s="133" t="s">
        <v>627</v>
      </c>
      <c r="C365" s="16" t="s">
        <v>12</v>
      </c>
      <c r="D365" s="40">
        <v>9.9</v>
      </c>
      <c r="E365" s="40"/>
      <c r="F365" s="40">
        <f t="shared" ref="F365:F371" si="147">SUM(D365:E365)</f>
        <v>9.9</v>
      </c>
      <c r="G365" s="40"/>
      <c r="H365" s="331">
        <f>MROUND((D365*(1+Sheet1!$C$3)),1)</f>
        <v>10</v>
      </c>
      <c r="I365" s="40"/>
      <c r="J365" s="40">
        <f t="shared" ref="J365:J371" si="148">SUM(H365:I365)</f>
        <v>10</v>
      </c>
      <c r="K365" s="9">
        <f t="shared" ref="K365:K371" si="149">J365-F365</f>
        <v>9.9999999999999645E-2</v>
      </c>
      <c r="L365" s="8">
        <f t="shared" ref="L365:L371" si="150">IF(F365="","NEW",K365/F365)</f>
        <v>1.0101010101010065E-2</v>
      </c>
    </row>
    <row r="366" spans="1:12" s="35" customFormat="1" ht="15.65" customHeight="1" x14ac:dyDescent="0.25">
      <c r="A366" s="37">
        <f t="shared" si="144"/>
        <v>266</v>
      </c>
      <c r="B366" s="133" t="s">
        <v>628</v>
      </c>
      <c r="C366" s="16" t="s">
        <v>12</v>
      </c>
      <c r="D366" s="40">
        <v>7.7000000000000011</v>
      </c>
      <c r="E366" s="40"/>
      <c r="F366" s="40">
        <f t="shared" si="147"/>
        <v>7.7000000000000011</v>
      </c>
      <c r="G366" s="40"/>
      <c r="H366" s="331">
        <f>MROUND((D366*(1+Sheet1!$C$3)),1)</f>
        <v>8</v>
      </c>
      <c r="I366" s="40"/>
      <c r="J366" s="40">
        <f t="shared" si="148"/>
        <v>8</v>
      </c>
      <c r="K366" s="9">
        <f t="shared" si="149"/>
        <v>0.29999999999999893</v>
      </c>
      <c r="L366" s="8">
        <f t="shared" si="150"/>
        <v>3.8961038961038814E-2</v>
      </c>
    </row>
    <row r="367" spans="1:12" s="35" customFormat="1" ht="15.65" customHeight="1" x14ac:dyDescent="0.25">
      <c r="A367" s="37">
        <f t="shared" si="144"/>
        <v>267</v>
      </c>
      <c r="B367" s="133" t="s">
        <v>629</v>
      </c>
      <c r="C367" s="16" t="s">
        <v>12</v>
      </c>
      <c r="D367" s="40">
        <v>6.6000000000000005</v>
      </c>
      <c r="E367" s="40"/>
      <c r="F367" s="40">
        <f t="shared" si="147"/>
        <v>6.6000000000000005</v>
      </c>
      <c r="G367" s="40"/>
      <c r="H367" s="331">
        <f>MROUND((D367*(1+Sheet1!$C$3)),1)</f>
        <v>7</v>
      </c>
      <c r="I367" s="40"/>
      <c r="J367" s="40">
        <f t="shared" si="148"/>
        <v>7</v>
      </c>
      <c r="K367" s="9">
        <f t="shared" si="149"/>
        <v>0.39999999999999947</v>
      </c>
      <c r="L367" s="8">
        <f t="shared" si="150"/>
        <v>6.0606060606060518E-2</v>
      </c>
    </row>
    <row r="368" spans="1:12" s="35" customFormat="1" ht="15.65" customHeight="1" x14ac:dyDescent="0.25">
      <c r="A368" s="37">
        <f t="shared" si="144"/>
        <v>268</v>
      </c>
      <c r="B368" s="133" t="s">
        <v>630</v>
      </c>
      <c r="C368" s="16" t="s">
        <v>12</v>
      </c>
      <c r="D368" s="40">
        <v>5.5</v>
      </c>
      <c r="E368" s="40"/>
      <c r="F368" s="40">
        <f t="shared" si="147"/>
        <v>5.5</v>
      </c>
      <c r="G368" s="40"/>
      <c r="H368" s="331">
        <f>MROUND((D368*(1+Sheet1!$C$3)),1)</f>
        <v>6</v>
      </c>
      <c r="I368" s="40"/>
      <c r="J368" s="40">
        <f t="shared" si="148"/>
        <v>6</v>
      </c>
      <c r="K368" s="9">
        <f t="shared" si="149"/>
        <v>0.5</v>
      </c>
      <c r="L368" s="8">
        <f t="shared" si="150"/>
        <v>9.0909090909090912E-2</v>
      </c>
    </row>
    <row r="369" spans="1:12" s="35" customFormat="1" ht="15.65" customHeight="1" x14ac:dyDescent="0.25">
      <c r="A369" s="37">
        <f t="shared" si="144"/>
        <v>269</v>
      </c>
      <c r="B369" s="133" t="s">
        <v>631</v>
      </c>
      <c r="C369" s="16" t="s">
        <v>12</v>
      </c>
      <c r="D369" s="40">
        <v>3.3000000000000003</v>
      </c>
      <c r="E369" s="40"/>
      <c r="F369" s="40">
        <f t="shared" si="147"/>
        <v>3.3000000000000003</v>
      </c>
      <c r="G369" s="40"/>
      <c r="H369" s="331">
        <f>MROUND((D369*(1+Sheet1!$C$3)),1)</f>
        <v>3</v>
      </c>
      <c r="I369" s="40"/>
      <c r="J369" s="40">
        <f t="shared" si="148"/>
        <v>3</v>
      </c>
      <c r="K369" s="9">
        <f t="shared" si="149"/>
        <v>-0.30000000000000027</v>
      </c>
      <c r="L369" s="8">
        <f t="shared" si="150"/>
        <v>-9.0909090909090981E-2</v>
      </c>
    </row>
    <row r="370" spans="1:12" s="35" customFormat="1" ht="15.65" customHeight="1" x14ac:dyDescent="0.25">
      <c r="A370" s="37">
        <f t="shared" si="144"/>
        <v>270</v>
      </c>
      <c r="B370" s="133" t="s">
        <v>632</v>
      </c>
      <c r="C370" s="16" t="s">
        <v>12</v>
      </c>
      <c r="D370" s="40">
        <v>5.5</v>
      </c>
      <c r="E370" s="40"/>
      <c r="F370" s="40">
        <f t="shared" si="147"/>
        <v>5.5</v>
      </c>
      <c r="G370" s="40"/>
      <c r="H370" s="331">
        <f>MROUND((D370*(1+Sheet1!$C$3)),1)</f>
        <v>6</v>
      </c>
      <c r="I370" s="40"/>
      <c r="J370" s="40">
        <f t="shared" si="148"/>
        <v>6</v>
      </c>
      <c r="K370" s="9">
        <f t="shared" si="149"/>
        <v>0.5</v>
      </c>
      <c r="L370" s="8">
        <f t="shared" si="150"/>
        <v>9.0909090909090912E-2</v>
      </c>
    </row>
    <row r="371" spans="1:12" s="35" customFormat="1" ht="15.65" customHeight="1" x14ac:dyDescent="0.25">
      <c r="A371" s="37">
        <f t="shared" si="144"/>
        <v>271</v>
      </c>
      <c r="B371" s="133" t="s">
        <v>633</v>
      </c>
      <c r="C371" s="16" t="s">
        <v>12</v>
      </c>
      <c r="D371" s="40">
        <v>3.3000000000000003</v>
      </c>
      <c r="E371" s="40"/>
      <c r="F371" s="40">
        <f t="shared" si="147"/>
        <v>3.3000000000000003</v>
      </c>
      <c r="G371" s="40"/>
      <c r="H371" s="331">
        <f>MROUND((D371*(1+Sheet1!$C$3)),1)</f>
        <v>3</v>
      </c>
      <c r="I371" s="40"/>
      <c r="J371" s="40">
        <f t="shared" si="148"/>
        <v>3</v>
      </c>
      <c r="K371" s="9">
        <f t="shared" si="149"/>
        <v>-0.30000000000000027</v>
      </c>
      <c r="L371" s="8">
        <f t="shared" si="150"/>
        <v>-9.0909090909090981E-2</v>
      </c>
    </row>
    <row r="372" spans="1:12" s="35" customFormat="1" ht="15.65" customHeight="1" x14ac:dyDescent="0.25">
      <c r="A372" s="37"/>
      <c r="B372" s="133"/>
      <c r="C372" s="16"/>
      <c r="D372" s="40"/>
      <c r="E372" s="40"/>
      <c r="F372" s="40"/>
      <c r="G372" s="40"/>
      <c r="H372" s="40"/>
      <c r="I372" s="40"/>
      <c r="J372" s="40"/>
      <c r="K372" s="9"/>
      <c r="L372" s="8"/>
    </row>
    <row r="373" spans="1:12" s="35" customFormat="1" ht="17.149999999999999" customHeight="1" thickBot="1" x14ac:dyDescent="0.3">
      <c r="A373" s="37"/>
      <c r="B373" s="271" t="s">
        <v>634</v>
      </c>
      <c r="C373" s="16"/>
      <c r="D373" s="40"/>
      <c r="E373" s="40"/>
      <c r="F373" s="40"/>
      <c r="G373" s="40"/>
      <c r="H373" s="40"/>
      <c r="I373" s="40"/>
      <c r="J373" s="40"/>
      <c r="K373" s="9"/>
      <c r="L373" s="8"/>
    </row>
    <row r="374" spans="1:12" s="35" customFormat="1" ht="15.65" customHeight="1" x14ac:dyDescent="0.25">
      <c r="A374" s="37">
        <f>A371+1</f>
        <v>272</v>
      </c>
      <c r="B374" s="133" t="s">
        <v>635</v>
      </c>
      <c r="C374" s="16" t="s">
        <v>12</v>
      </c>
      <c r="D374" s="40">
        <v>55.000000000000007</v>
      </c>
      <c r="E374" s="40"/>
      <c r="F374" s="40">
        <f t="shared" ref="F374:F377" si="151">SUM(D374:E374)</f>
        <v>55.000000000000007</v>
      </c>
      <c r="G374" s="40"/>
      <c r="H374" s="331">
        <f>MROUND((D374*(1+Sheet1!$C$3)),1)</f>
        <v>57</v>
      </c>
      <c r="I374" s="40"/>
      <c r="J374" s="40">
        <f t="shared" ref="J374:J377" si="152">SUM(H374:I374)</f>
        <v>57</v>
      </c>
      <c r="K374" s="9">
        <f t="shared" ref="K374:K377" si="153">J374-F374</f>
        <v>1.9999999999999929</v>
      </c>
      <c r="L374" s="8">
        <f t="shared" ref="L374:L377" si="154">IF(F374="","NEW",K374/F374)</f>
        <v>3.636363636363623E-2</v>
      </c>
    </row>
    <row r="375" spans="1:12" s="35" customFormat="1" ht="15.65" customHeight="1" x14ac:dyDescent="0.25">
      <c r="A375" s="37">
        <f t="shared" ref="A375:A377" si="155">A374+1</f>
        <v>273</v>
      </c>
      <c r="B375" s="133" t="s">
        <v>636</v>
      </c>
      <c r="C375" s="16" t="s">
        <v>12</v>
      </c>
      <c r="D375" s="40">
        <v>165</v>
      </c>
      <c r="E375" s="40"/>
      <c r="F375" s="40">
        <f t="shared" si="151"/>
        <v>165</v>
      </c>
      <c r="G375" s="40"/>
      <c r="H375" s="331">
        <f>MROUND((D375*(1+Sheet1!$C$3)),1)</f>
        <v>170</v>
      </c>
      <c r="I375" s="40"/>
      <c r="J375" s="40">
        <f t="shared" si="152"/>
        <v>170</v>
      </c>
      <c r="K375" s="9">
        <f t="shared" si="153"/>
        <v>5</v>
      </c>
      <c r="L375" s="8">
        <f t="shared" si="154"/>
        <v>3.0303030303030304E-2</v>
      </c>
    </row>
    <row r="376" spans="1:12" s="35" customFormat="1" ht="15.65" customHeight="1" x14ac:dyDescent="0.25">
      <c r="A376" s="37">
        <f t="shared" si="155"/>
        <v>274</v>
      </c>
      <c r="B376" s="133" t="s">
        <v>637</v>
      </c>
      <c r="C376" s="16" t="s">
        <v>12</v>
      </c>
      <c r="D376" s="40">
        <v>55.000000000000007</v>
      </c>
      <c r="E376" s="40"/>
      <c r="F376" s="40">
        <f t="shared" si="151"/>
        <v>55.000000000000007</v>
      </c>
      <c r="G376" s="40"/>
      <c r="H376" s="331">
        <f>MROUND((D376*(1+Sheet1!$C$3)),1)</f>
        <v>57</v>
      </c>
      <c r="I376" s="40"/>
      <c r="J376" s="40">
        <f t="shared" si="152"/>
        <v>57</v>
      </c>
      <c r="K376" s="9">
        <f t="shared" si="153"/>
        <v>1.9999999999999929</v>
      </c>
      <c r="L376" s="8">
        <f t="shared" si="154"/>
        <v>3.636363636363623E-2</v>
      </c>
    </row>
    <row r="377" spans="1:12" s="35" customFormat="1" ht="15.65" customHeight="1" x14ac:dyDescent="0.25">
      <c r="A377" s="37">
        <f t="shared" si="155"/>
        <v>275</v>
      </c>
      <c r="B377" s="133" t="s">
        <v>638</v>
      </c>
      <c r="C377" s="16" t="s">
        <v>12</v>
      </c>
      <c r="D377" s="40">
        <v>165</v>
      </c>
      <c r="E377" s="40"/>
      <c r="F377" s="40">
        <f t="shared" si="151"/>
        <v>165</v>
      </c>
      <c r="G377" s="40"/>
      <c r="H377" s="331">
        <f>MROUND((D377*(1+Sheet1!$C$3)),1)</f>
        <v>170</v>
      </c>
      <c r="I377" s="40"/>
      <c r="J377" s="40">
        <f t="shared" si="152"/>
        <v>170</v>
      </c>
      <c r="K377" s="9">
        <f t="shared" si="153"/>
        <v>5</v>
      </c>
      <c r="L377" s="8">
        <f t="shared" si="154"/>
        <v>3.0303030303030304E-2</v>
      </c>
    </row>
    <row r="378" spans="1:12" s="35" customFormat="1" ht="17.149999999999999" customHeight="1" thickBot="1" x14ac:dyDescent="0.3">
      <c r="A378" s="37"/>
      <c r="B378" s="271" t="s">
        <v>639</v>
      </c>
      <c r="C378" s="16"/>
      <c r="D378" s="40"/>
      <c r="E378" s="40"/>
      <c r="F378" s="40"/>
      <c r="G378" s="40"/>
      <c r="H378" s="40"/>
      <c r="I378" s="40"/>
      <c r="J378" s="40"/>
      <c r="K378" s="9"/>
      <c r="L378" s="8"/>
    </row>
    <row r="379" spans="1:12" s="35" customFormat="1" ht="15.65" customHeight="1" x14ac:dyDescent="0.25">
      <c r="A379" s="37">
        <f>A377+1</f>
        <v>276</v>
      </c>
      <c r="B379" s="133" t="s">
        <v>640</v>
      </c>
      <c r="C379" s="16" t="s">
        <v>12</v>
      </c>
      <c r="D379" s="40">
        <v>110.00000000000001</v>
      </c>
      <c r="E379" s="40"/>
      <c r="F379" s="40">
        <f t="shared" ref="F379:F380" si="156">SUM(D379:E379)</f>
        <v>110.00000000000001</v>
      </c>
      <c r="G379" s="40"/>
      <c r="H379" s="331">
        <f>MROUND((D379*(1+Sheet1!$C$3)),1)</f>
        <v>113</v>
      </c>
      <c r="I379" s="40"/>
      <c r="J379" s="40">
        <f t="shared" ref="J379:J380" si="157">SUM(H379:I379)</f>
        <v>113</v>
      </c>
      <c r="K379" s="9">
        <f t="shared" ref="K379:K380" si="158">J379-F379</f>
        <v>2.9999999999999858</v>
      </c>
      <c r="L379" s="8">
        <f t="shared" ref="L379:L380" si="159">IF(F379="","NEW",K379/F379)</f>
        <v>2.727272727272714E-2</v>
      </c>
    </row>
    <row r="380" spans="1:12" s="35" customFormat="1" ht="15.65" customHeight="1" x14ac:dyDescent="0.25">
      <c r="A380" s="37">
        <f t="shared" ref="A380" si="160">A379+1</f>
        <v>277</v>
      </c>
      <c r="B380" s="133" t="s">
        <v>641</v>
      </c>
      <c r="C380" s="16" t="s">
        <v>12</v>
      </c>
      <c r="D380" s="40">
        <v>110.00000000000001</v>
      </c>
      <c r="E380" s="40"/>
      <c r="F380" s="40">
        <f t="shared" si="156"/>
        <v>110.00000000000001</v>
      </c>
      <c r="G380" s="40"/>
      <c r="H380" s="331">
        <f>MROUND((D380*(1+Sheet1!$C$3)),1)</f>
        <v>113</v>
      </c>
      <c r="I380" s="40"/>
      <c r="J380" s="40">
        <f t="shared" si="157"/>
        <v>113</v>
      </c>
      <c r="K380" s="9">
        <f t="shared" si="158"/>
        <v>2.9999999999999858</v>
      </c>
      <c r="L380" s="8">
        <f t="shared" si="159"/>
        <v>2.727272727272714E-2</v>
      </c>
    </row>
    <row r="381" spans="1:12" s="35" customFormat="1" ht="20.25" customHeight="1" x14ac:dyDescent="0.25">
      <c r="A381" s="159"/>
      <c r="B381" s="47"/>
      <c r="C381" s="47"/>
      <c r="D381" s="48"/>
      <c r="E381" s="48"/>
      <c r="F381" s="48"/>
      <c r="G381" s="48"/>
      <c r="H381" s="48"/>
      <c r="I381" s="48"/>
      <c r="J381" s="48"/>
      <c r="K381" s="49"/>
      <c r="L381" s="50"/>
    </row>
    <row r="382" spans="1:12" s="35" customFormat="1" ht="20.25" customHeight="1" x14ac:dyDescent="0.25">
      <c r="A382" s="160"/>
      <c r="B382" s="47"/>
      <c r="C382" s="47"/>
      <c r="D382" s="52"/>
      <c r="E382" s="52"/>
      <c r="F382" s="52"/>
      <c r="G382" s="52"/>
      <c r="H382" s="52"/>
      <c r="I382" s="52"/>
      <c r="J382" s="52"/>
      <c r="K382" s="49"/>
      <c r="L382" s="50"/>
    </row>
    <row r="383" spans="1:12" s="35" customFormat="1" ht="20.25" customHeight="1" x14ac:dyDescent="0.25">
      <c r="A383" s="159"/>
      <c r="B383" s="47"/>
      <c r="C383" s="47"/>
      <c r="D383" s="52"/>
      <c r="E383" s="52"/>
      <c r="F383" s="52"/>
      <c r="G383" s="52"/>
      <c r="H383" s="52"/>
      <c r="I383" s="52"/>
      <c r="J383" s="52"/>
      <c r="K383" s="49"/>
      <c r="L383" s="50"/>
    </row>
    <row r="384" spans="1:12" s="35" customFormat="1" ht="20.25" customHeight="1" x14ac:dyDescent="0.25">
      <c r="A384" s="159"/>
      <c r="B384" s="47"/>
      <c r="C384" s="47"/>
      <c r="D384" s="52"/>
      <c r="E384" s="52"/>
      <c r="F384" s="52"/>
      <c r="G384" s="52"/>
      <c r="H384" s="52"/>
      <c r="I384" s="52"/>
      <c r="J384" s="52"/>
      <c r="K384" s="49"/>
      <c r="L384" s="50"/>
    </row>
    <row r="385" spans="1:12" s="47" customFormat="1" ht="20.25" customHeight="1" x14ac:dyDescent="0.35">
      <c r="A385" s="159"/>
      <c r="D385" s="52"/>
      <c r="E385" s="52"/>
      <c r="F385" s="52"/>
      <c r="G385" s="52"/>
      <c r="H385" s="52"/>
      <c r="I385" s="52"/>
      <c r="J385" s="52"/>
      <c r="K385" s="49"/>
      <c r="L385" s="50"/>
    </row>
    <row r="386" spans="1:12" s="47" customFormat="1" ht="20.25" customHeight="1" x14ac:dyDescent="0.35">
      <c r="A386" s="159"/>
      <c r="D386" s="52"/>
      <c r="E386" s="52"/>
      <c r="F386" s="52"/>
      <c r="G386" s="52"/>
      <c r="H386" s="52"/>
      <c r="I386" s="52"/>
      <c r="J386" s="52"/>
      <c r="K386" s="49"/>
      <c r="L386" s="50"/>
    </row>
    <row r="387" spans="1:12" s="47" customFormat="1" ht="20.25" customHeight="1" x14ac:dyDescent="0.35">
      <c r="A387" s="159"/>
      <c r="D387" s="52"/>
      <c r="E387" s="52"/>
      <c r="F387" s="52"/>
      <c r="G387" s="52"/>
      <c r="H387" s="52"/>
      <c r="I387" s="52"/>
      <c r="J387" s="52"/>
      <c r="K387" s="49"/>
      <c r="L387" s="50"/>
    </row>
  </sheetData>
  <mergeCells count="27">
    <mergeCell ref="D364:F364"/>
    <mergeCell ref="H364:J364"/>
    <mergeCell ref="D263:F263"/>
    <mergeCell ref="H263:J263"/>
    <mergeCell ref="D294:F294"/>
    <mergeCell ref="H294:J294"/>
    <mergeCell ref="B314:F314"/>
    <mergeCell ref="B297:F297"/>
    <mergeCell ref="D240:F240"/>
    <mergeCell ref="H240:J240"/>
    <mergeCell ref="D248:F248"/>
    <mergeCell ref="H248:J248"/>
    <mergeCell ref="D262:F262"/>
    <mergeCell ref="H262:J262"/>
    <mergeCell ref="D237:F237"/>
    <mergeCell ref="H237:J237"/>
    <mergeCell ref="A1:B1"/>
    <mergeCell ref="K1:L1"/>
    <mergeCell ref="D144:J144"/>
    <mergeCell ref="D145:J145"/>
    <mergeCell ref="D146:J146"/>
    <mergeCell ref="D147:J147"/>
    <mergeCell ref="D188:J188"/>
    <mergeCell ref="D233:F233"/>
    <mergeCell ref="H233:J233"/>
    <mergeCell ref="D236:F236"/>
    <mergeCell ref="H236:J236"/>
  </mergeCells>
  <conditionalFormatting sqref="L5:L111 L166:L176 L216:L221 L249:L253 L255:L260 L280:L284 L292:L293 L315:L323 L325:L326 L355:L380">
    <cfRule type="cellIs" dxfId="38" priority="130" operator="equal">
      <formula>"NEW"</formula>
    </cfRule>
  </conditionalFormatting>
  <conditionalFormatting sqref="L113:L137">
    <cfRule type="cellIs" dxfId="37" priority="129" operator="equal">
      <formula>"NEW"</formula>
    </cfRule>
  </conditionalFormatting>
  <conditionalFormatting sqref="L140:L142 L150:L158 L161:L162">
    <cfRule type="cellIs" dxfId="36" priority="128" operator="equal">
      <formula>"NEW"</formula>
    </cfRule>
  </conditionalFormatting>
  <conditionalFormatting sqref="L144:L148">
    <cfRule type="cellIs" dxfId="35" priority="121" operator="equal">
      <formula>"NEW"</formula>
    </cfRule>
  </conditionalFormatting>
  <conditionalFormatting sqref="L185">
    <cfRule type="cellIs" dxfId="34" priority="4" operator="equal">
      <formula>"NEW"</formula>
    </cfRule>
  </conditionalFormatting>
  <conditionalFormatting sqref="L193:L203">
    <cfRule type="cellIs" dxfId="33" priority="1" operator="equal">
      <formula>"NEW"</formula>
    </cfRule>
  </conditionalFormatting>
  <conditionalFormatting sqref="L205:L206 L209:L213 L223:L226">
    <cfRule type="cellIs" dxfId="32" priority="126" operator="equal">
      <formula>"NEW"</formula>
    </cfRule>
  </conditionalFormatting>
  <conditionalFormatting sqref="L228:L233">
    <cfRule type="cellIs" dxfId="31" priority="125" operator="equal">
      <formula>"NEW"</formula>
    </cfRule>
  </conditionalFormatting>
  <conditionalFormatting sqref="L238:L240">
    <cfRule type="cellIs" dxfId="30" priority="117" operator="equal">
      <formula>"NEW"</formula>
    </cfRule>
  </conditionalFormatting>
  <conditionalFormatting sqref="L243:L247">
    <cfRule type="cellIs" dxfId="29" priority="124" operator="equal">
      <formula>"NEW"</formula>
    </cfRule>
  </conditionalFormatting>
  <conditionalFormatting sqref="L268:L269 L272:L273 L276:L277 L287:L289">
    <cfRule type="cellIs" dxfId="28" priority="123" operator="equal">
      <formula>"NEW"</formula>
    </cfRule>
  </conditionalFormatting>
  <conditionalFormatting sqref="L299:L302">
    <cfRule type="cellIs" dxfId="27" priority="119" operator="equal">
      <formula>"NEW"</formula>
    </cfRule>
  </conditionalFormatting>
  <conditionalFormatting sqref="L304:L307">
    <cfRule type="cellIs" dxfId="26" priority="108" operator="equal">
      <formula>"NEW"</formula>
    </cfRule>
  </conditionalFormatting>
  <conditionalFormatting sqref="L309:L312">
    <cfRule type="cellIs" dxfId="25" priority="107" operator="equal">
      <formula>"NEW"</formula>
    </cfRule>
  </conditionalFormatting>
  <conditionalFormatting sqref="L329:L331 L334:L335 L338:L339 L344:L348 L352">
    <cfRule type="cellIs" dxfId="24" priority="122" operator="equal">
      <formula>"NEW"</formula>
    </cfRule>
  </conditionalFormatting>
  <dataValidations count="1">
    <dataValidation type="list" allowBlank="1" showInputMessage="1" showErrorMessage="1" sqref="C298:C313 C315:C380 C5:C296" xr:uid="{8FED3B92-B29F-4105-B779-C73C01B9F912}">
      <formula1>"Statutory, Full Cost Recovery, Discretionary, Third Party"</formula1>
    </dataValidation>
  </dataValidations>
  <printOptions horizontalCentered="1"/>
  <pageMargins left="0.70866141732283472" right="0.70866141732283472" top="0.94488188976377963" bottom="0.74803149606299213" header="0.31496062992125984" footer="0.31496062992125984"/>
  <pageSetup paperSize="9" scale="58" fitToHeight="0" orientation="landscape" r:id="rId1"/>
  <headerFooter alignWithMargins="0">
    <oddHeader>&amp;L&amp;"Arial,Bold"&amp;16&amp;A&amp;C&amp;"Arial,Bold"&amp;16FEES AND CHARGES 2024/25</oddHeader>
    <oddFooter>&amp;L&amp;"Arial,Bold"&amp;16&amp;A&amp;C&amp;"Arial,Bold"&amp;16&amp;P</oddFooter>
  </headerFooter>
  <rowBreaks count="11" manualBreakCount="11">
    <brk id="22" max="13" man="1"/>
    <brk id="59" max="13" man="1"/>
    <brk id="95" max="13" man="1"/>
    <brk id="130" max="13" man="1"/>
    <brk id="163" max="13" man="1"/>
    <brk id="188" max="13" man="1"/>
    <brk id="225" max="13" man="1"/>
    <brk id="253" max="13" man="1"/>
    <brk id="284" max="13" man="1"/>
    <brk id="323" max="13" man="1"/>
    <brk id="35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81E28754CE734186E7028A26556C15" ma:contentTypeVersion="4" ma:contentTypeDescription="Create a new document." ma:contentTypeScope="" ma:versionID="1634e413c95dbee7bd5f0cde9816a53a">
  <xsd:schema xmlns:xsd="http://www.w3.org/2001/XMLSchema" xmlns:xs="http://www.w3.org/2001/XMLSchema" xmlns:p="http://schemas.microsoft.com/office/2006/metadata/properties" xmlns:ns2="d34edf20-3fcb-471d-8feb-ca7b70045e7f" targetNamespace="http://schemas.microsoft.com/office/2006/metadata/properties" ma:root="true" ma:fieldsID="eec94a78b76817e84b8bc6da321fc7c5" ns2:_="">
    <xsd:import namespace="d34edf20-3fcb-471d-8feb-ca7b70045e7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edf20-3fcb-471d-8feb-ca7b70045e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691261-BD70-4F29-BFD2-48F0F9A6BA35}">
  <ds:schemaRefs>
    <ds:schemaRef ds:uri="d34edf20-3fcb-471d-8feb-ca7b70045e7f"/>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D371BBD-A12B-4EE3-91EE-50DFEDE8E7F8}">
  <ds:schemaRefs>
    <ds:schemaRef ds:uri="http://schemas.microsoft.com/sharepoint/v3/contenttype/forms"/>
  </ds:schemaRefs>
</ds:datastoreItem>
</file>

<file path=customXml/itemProps3.xml><?xml version="1.0" encoding="utf-8"?>
<ds:datastoreItem xmlns:ds="http://schemas.openxmlformats.org/officeDocument/2006/customXml" ds:itemID="{4B296111-005D-42BE-83F3-6D12ACDBB5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4edf20-3fcb-471d-8feb-ca7b70045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13aa9ea-00af-4720-a181-678d737878de}" enabled="0" method="" siteId="{513aa9ea-00af-4720-a181-678d737878d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38</vt:i4>
      </vt:variant>
    </vt:vector>
  </HeadingPairs>
  <TitlesOfParts>
    <vt:vector size="59" baseType="lpstr">
      <vt:lpstr>Sheet1</vt:lpstr>
      <vt:lpstr>Adult Social Care</vt:lpstr>
      <vt:lpstr>Allotments</vt:lpstr>
      <vt:lpstr>Bereavement Services</vt:lpstr>
      <vt:lpstr>Building Control</vt:lpstr>
      <vt:lpstr>Car Parking</vt:lpstr>
      <vt:lpstr>Corp Venues</vt:lpstr>
      <vt:lpstr>Council Tax Penalties</vt:lpstr>
      <vt:lpstr>Culture</vt:lpstr>
      <vt:lpstr>Highways</vt:lpstr>
      <vt:lpstr>Housing</vt:lpstr>
      <vt:lpstr>Licences</vt:lpstr>
      <vt:lpstr>Local Land Charges</vt:lpstr>
      <vt:lpstr>Pier and Foreshore</vt:lpstr>
      <vt:lpstr>Planning and Eco Incl</vt:lpstr>
      <vt:lpstr>Property - Legal</vt:lpstr>
      <vt:lpstr>Registration</vt:lpstr>
      <vt:lpstr>Regulatory</vt:lpstr>
      <vt:lpstr>Town Centre and Tourism</vt:lpstr>
      <vt:lpstr>Transport</vt:lpstr>
      <vt:lpstr>Waste</vt:lpstr>
      <vt:lpstr>'Property - Legal'!_ftn1</vt:lpstr>
      <vt:lpstr>'Property - Legal'!_ftnref1</vt:lpstr>
      <vt:lpstr>'Adult Social Care'!Print_Area</vt:lpstr>
      <vt:lpstr>Allotments!Print_Area</vt:lpstr>
      <vt:lpstr>'Bereavement Services'!Print_Area</vt:lpstr>
      <vt:lpstr>'Building Control'!Print_Area</vt:lpstr>
      <vt:lpstr>'Corp Venues'!Print_Area</vt:lpstr>
      <vt:lpstr>'Council Tax Penalties'!Print_Area</vt:lpstr>
      <vt:lpstr>Culture!Print_Area</vt:lpstr>
      <vt:lpstr>Highways!Print_Area</vt:lpstr>
      <vt:lpstr>Housing!Print_Area</vt:lpstr>
      <vt:lpstr>Licences!Print_Area</vt:lpstr>
      <vt:lpstr>'Local Land Charges'!Print_Area</vt:lpstr>
      <vt:lpstr>'Pier and Foreshore'!Print_Area</vt:lpstr>
      <vt:lpstr>'Planning and Eco Incl'!Print_Area</vt:lpstr>
      <vt:lpstr>'Property - Legal'!Print_Area</vt:lpstr>
      <vt:lpstr>Registration!Print_Area</vt:lpstr>
      <vt:lpstr>Regulatory!Print_Area</vt:lpstr>
      <vt:lpstr>'Town Centre and Tourism'!Print_Area</vt:lpstr>
      <vt:lpstr>Transport!Print_Area</vt:lpstr>
      <vt:lpstr>Waste!Print_Area</vt:lpstr>
      <vt:lpstr>'Adult Social Care'!Print_Titles</vt:lpstr>
      <vt:lpstr>Allotments!Print_Titles</vt:lpstr>
      <vt:lpstr>'Bereavement Services'!Print_Titles</vt:lpstr>
      <vt:lpstr>'Building Control'!Print_Titles</vt:lpstr>
      <vt:lpstr>'Corp Venues'!Print_Titles</vt:lpstr>
      <vt:lpstr>'Council Tax Penalties'!Print_Titles</vt:lpstr>
      <vt:lpstr>Culture!Print_Titles</vt:lpstr>
      <vt:lpstr>Highways!Print_Titles</vt:lpstr>
      <vt:lpstr>Housing!Print_Titles</vt:lpstr>
      <vt:lpstr>'Local Land Charges'!Print_Titles</vt:lpstr>
      <vt:lpstr>'Pier and Foreshore'!Print_Titles</vt:lpstr>
      <vt:lpstr>'Planning and Eco Incl'!Print_Titles</vt:lpstr>
      <vt:lpstr>Registration!Print_Titles</vt:lpstr>
      <vt:lpstr>Regulatory!Print_Titles</vt:lpstr>
      <vt:lpstr>'Town Centre and Tourism'!Print_Titles</vt:lpstr>
      <vt:lpstr>Transport!Print_Titles</vt:lpstr>
      <vt:lpstr>Waste!Print_Titles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Gary Perry-Ambrose</dc:creator>
  <cp:keywords/>
  <dc:description/>
  <cp:lastModifiedBy>Gary Perry-Ambrose</cp:lastModifiedBy>
  <cp:revision/>
  <cp:lastPrinted>2024-12-03T14:28:40Z</cp:lastPrinted>
  <dcterms:created xsi:type="dcterms:W3CDTF">2022-02-10T14:27:14Z</dcterms:created>
  <dcterms:modified xsi:type="dcterms:W3CDTF">2025-08-26T12:14:40Z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0x010100B681E28754CE734186E7028A26556C15</vt:lpwstr>
  </property>
  <property fmtid="{D5CDD505-2E9C-101B-9397-08002B2CF9AE}" pid="3" name="MediaServiceImageTags">
    <vt:lpwstr/>
  </property>
</Properties>
</file>